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ECT\Desktop\"/>
    </mc:Choice>
  </mc:AlternateContent>
  <xr:revisionPtr revIDLastSave="0" documentId="13_ncr:1_{B6EE3482-99BB-488D-83C8-9012F7446030}" xr6:coauthVersionLast="46" xr6:coauthVersionMax="46" xr10:uidLastSave="{00000000-0000-0000-0000-000000000000}"/>
  <bookViews>
    <workbookView xWindow="-120" yWindow="-120" windowWidth="20730" windowHeight="11160" xr2:uid="{E35FBEA5-39F6-F240-AB0D-800AAFF1762E}"/>
  </bookViews>
  <sheets>
    <sheet name="FOI data" sheetId="2" r:id="rId1"/>
  </sheets>
  <definedNames>
    <definedName name="_xlnm._FilterDatabase" localSheetId="0" hidden="1">'FOI data'!$A$10:$U$162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7" i="2" l="1"/>
  <c r="S54" i="2"/>
  <c r="P13" i="2"/>
  <c r="K90" i="2"/>
  <c r="L90" i="2" s="1"/>
  <c r="L14" i="2"/>
  <c r="L15" i="2"/>
  <c r="L16" i="2"/>
  <c r="L17" i="2"/>
  <c r="L18" i="2"/>
  <c r="L19" i="2"/>
  <c r="L20" i="2"/>
  <c r="L21" i="2"/>
  <c r="L22" i="2"/>
  <c r="L25" i="2"/>
  <c r="L27" i="2"/>
  <c r="L28" i="2"/>
  <c r="L29" i="2"/>
  <c r="L35" i="2"/>
  <c r="L36" i="2"/>
  <c r="L37" i="2"/>
  <c r="L39" i="2"/>
  <c r="L40" i="2"/>
  <c r="L41" i="2"/>
  <c r="L42" i="2"/>
  <c r="L43" i="2"/>
  <c r="L47" i="2"/>
  <c r="L48" i="2"/>
  <c r="L52" i="2"/>
  <c r="L53" i="2"/>
  <c r="L55" i="2"/>
  <c r="L56" i="2"/>
  <c r="L60" i="2"/>
  <c r="L61" i="2"/>
  <c r="L62" i="2"/>
  <c r="L63" i="2"/>
  <c r="L65" i="2"/>
  <c r="L66" i="2"/>
  <c r="L67" i="2"/>
  <c r="L68" i="2"/>
  <c r="L69" i="2"/>
  <c r="L70" i="2"/>
  <c r="L72" i="2"/>
  <c r="L73" i="2"/>
  <c r="L74" i="2"/>
  <c r="L75" i="2"/>
  <c r="L76" i="2"/>
  <c r="L79" i="2"/>
  <c r="L83" i="2"/>
  <c r="L86" i="2"/>
  <c r="L88" i="2"/>
  <c r="L92" i="2"/>
  <c r="L94" i="2"/>
  <c r="L95" i="2"/>
  <c r="L98" i="2"/>
  <c r="L100" i="2"/>
  <c r="L101" i="2"/>
  <c r="L102" i="2"/>
  <c r="L104" i="2"/>
  <c r="L107" i="2"/>
  <c r="L110" i="2"/>
  <c r="L111" i="2"/>
  <c r="L113" i="2"/>
  <c r="L119" i="2"/>
  <c r="L121" i="2"/>
  <c r="L122" i="2"/>
  <c r="L123" i="2"/>
  <c r="L126" i="2"/>
  <c r="L128" i="2"/>
  <c r="L130" i="2"/>
  <c r="L132" i="2"/>
  <c r="L135" i="2"/>
  <c r="L137" i="2"/>
  <c r="L138" i="2"/>
  <c r="L140" i="2"/>
  <c r="L142" i="2"/>
  <c r="L145" i="2"/>
  <c r="L146" i="2"/>
  <c r="L148" i="2"/>
  <c r="L149" i="2"/>
  <c r="L150" i="2"/>
  <c r="L152" i="2"/>
  <c r="L153" i="2"/>
  <c r="L154" i="2"/>
  <c r="L155" i="2"/>
  <c r="L158" i="2"/>
  <c r="L161" i="2"/>
  <c r="L13" i="2"/>
  <c r="N86" i="2"/>
  <c r="O86" i="2"/>
  <c r="E49" i="2"/>
  <c r="K134" i="2"/>
  <c r="L134" i="2" s="1"/>
  <c r="K117" i="2"/>
  <c r="L117" i="2" s="1"/>
  <c r="K93" i="2"/>
  <c r="L93" i="2" s="1"/>
  <c r="K50" i="2"/>
  <c r="L50" i="2" s="1"/>
  <c r="K31" i="2"/>
  <c r="L31" i="2" s="1"/>
  <c r="G129" i="2"/>
  <c r="L129" i="2" s="1"/>
  <c r="T31" i="2"/>
  <c r="P129" i="2"/>
  <c r="R6" i="2"/>
  <c r="J33" i="2"/>
  <c r="F33" i="2"/>
  <c r="C33" i="2"/>
  <c r="P153" i="2"/>
  <c r="S152" i="2"/>
  <c r="T152" i="2" s="1"/>
  <c r="S146" i="2"/>
  <c r="T146" i="2" s="1"/>
  <c r="S126" i="2"/>
  <c r="T126" i="2" s="1"/>
  <c r="S123" i="2"/>
  <c r="T123" i="2" s="1"/>
  <c r="S122" i="2"/>
  <c r="T122" i="2" s="1"/>
  <c r="S107" i="2"/>
  <c r="T107" i="2" s="1"/>
  <c r="S102" i="2"/>
  <c r="T102" i="2" s="1"/>
  <c r="S98" i="2"/>
  <c r="T98" i="2" s="1"/>
  <c r="S42" i="2"/>
  <c r="T42" i="2" s="1"/>
  <c r="S39" i="2"/>
  <c r="T39" i="2" s="1"/>
  <c r="S36" i="2"/>
  <c r="T36" i="2" s="1"/>
  <c r="S27" i="2"/>
  <c r="T27" i="2" s="1"/>
  <c r="S20" i="2"/>
  <c r="T20" i="2" s="1"/>
  <c r="S17" i="2"/>
  <c r="T17" i="2" s="1"/>
  <c r="S117" i="2" l="1"/>
  <c r="T117" i="2" s="1"/>
  <c r="N68" i="2"/>
  <c r="O68" i="2"/>
  <c r="N41" i="2"/>
  <c r="O41" i="2"/>
  <c r="K114" i="2"/>
  <c r="G114" i="2"/>
  <c r="D114" i="2"/>
  <c r="L114" i="2" l="1"/>
  <c r="I156" i="2"/>
  <c r="J156" i="2"/>
  <c r="O156" i="2" s="1"/>
  <c r="R156" i="2" s="1"/>
  <c r="F156" i="2"/>
  <c r="E156" i="2"/>
  <c r="J49" i="2"/>
  <c r="I49" i="2"/>
  <c r="F49" i="2"/>
  <c r="K106" i="2"/>
  <c r="L106" i="2" s="1"/>
  <c r="P56" i="2"/>
  <c r="S134" i="2"/>
  <c r="T134" i="2" s="1"/>
  <c r="Q135" i="2"/>
  <c r="R135" i="2"/>
  <c r="K162" i="2"/>
  <c r="K160" i="2"/>
  <c r="K159" i="2"/>
  <c r="K157" i="2"/>
  <c r="K151" i="2"/>
  <c r="K147" i="2"/>
  <c r="K144" i="2"/>
  <c r="K143" i="2"/>
  <c r="K141" i="2"/>
  <c r="K139" i="2"/>
  <c r="K136" i="2"/>
  <c r="K133" i="2"/>
  <c r="K131" i="2"/>
  <c r="K125" i="2"/>
  <c r="K127" i="2"/>
  <c r="K124" i="2"/>
  <c r="K120" i="2"/>
  <c r="K118" i="2"/>
  <c r="K116" i="2"/>
  <c r="K115" i="2"/>
  <c r="K112" i="2"/>
  <c r="K109" i="2"/>
  <c r="K108" i="2"/>
  <c r="K105" i="2"/>
  <c r="K103" i="2"/>
  <c r="K99" i="2"/>
  <c r="K97" i="2"/>
  <c r="P140" i="2" s="1"/>
  <c r="K96" i="2"/>
  <c r="K91" i="2"/>
  <c r="K89" i="2"/>
  <c r="K87" i="2"/>
  <c r="K85" i="2"/>
  <c r="K84" i="2"/>
  <c r="K82" i="2"/>
  <c r="K81" i="2"/>
  <c r="K80" i="2"/>
  <c r="K78" i="2"/>
  <c r="K77" i="2"/>
  <c r="K71" i="2"/>
  <c r="K64" i="2"/>
  <c r="K23" i="2"/>
  <c r="K24" i="2"/>
  <c r="P121" i="2" s="1"/>
  <c r="K26" i="2"/>
  <c r="P28" i="2"/>
  <c r="S28" i="2" s="1"/>
  <c r="T28" i="2" s="1"/>
  <c r="K30" i="2"/>
  <c r="K32" i="2"/>
  <c r="K33" i="2"/>
  <c r="K34" i="2"/>
  <c r="K38" i="2"/>
  <c r="K44" i="2"/>
  <c r="K45" i="2"/>
  <c r="K46" i="2"/>
  <c r="K51" i="2"/>
  <c r="P52" i="2"/>
  <c r="K54" i="2"/>
  <c r="K57" i="2"/>
  <c r="K59" i="2"/>
  <c r="D162" i="2"/>
  <c r="D160" i="2"/>
  <c r="D159" i="2"/>
  <c r="D158" i="2"/>
  <c r="D157" i="2"/>
  <c r="D153" i="2"/>
  <c r="D152" i="2"/>
  <c r="D151" i="2"/>
  <c r="D147" i="2"/>
  <c r="D146" i="2"/>
  <c r="D145" i="2"/>
  <c r="D144" i="2"/>
  <c r="D143" i="2"/>
  <c r="D142" i="2"/>
  <c r="D141" i="2"/>
  <c r="D139" i="2"/>
  <c r="D137" i="2"/>
  <c r="D136" i="2"/>
  <c r="D134" i="2"/>
  <c r="D133" i="2"/>
  <c r="D130" i="2"/>
  <c r="D131" i="2"/>
  <c r="D129" i="2"/>
  <c r="D126" i="2"/>
  <c r="D125" i="2"/>
  <c r="D128" i="2"/>
  <c r="D127" i="2"/>
  <c r="D124" i="2"/>
  <c r="D123" i="2"/>
  <c r="D122" i="2"/>
  <c r="D120" i="2"/>
  <c r="D118" i="2"/>
  <c r="D117" i="2"/>
  <c r="D116" i="2"/>
  <c r="D115" i="2"/>
  <c r="D112" i="2"/>
  <c r="D109" i="2"/>
  <c r="D108" i="2"/>
  <c r="D107" i="2"/>
  <c r="D105" i="2"/>
  <c r="D103" i="2"/>
  <c r="D102" i="2"/>
  <c r="D99" i="2"/>
  <c r="D98" i="2"/>
  <c r="D97" i="2"/>
  <c r="D96" i="2"/>
  <c r="D93" i="2"/>
  <c r="D92" i="2"/>
  <c r="D91" i="2"/>
  <c r="D90" i="2"/>
  <c r="D89" i="2"/>
  <c r="D87" i="2"/>
  <c r="D85" i="2"/>
  <c r="D84" i="2"/>
  <c r="D82" i="2"/>
  <c r="D81" i="2"/>
  <c r="D80" i="2"/>
  <c r="D78" i="2"/>
  <c r="D77" i="2"/>
  <c r="D75" i="2"/>
  <c r="D71" i="2"/>
  <c r="D70" i="2"/>
  <c r="D14" i="2"/>
  <c r="D15" i="2"/>
  <c r="D16" i="2"/>
  <c r="D17" i="2"/>
  <c r="D19" i="2"/>
  <c r="D20" i="2"/>
  <c r="D23" i="2"/>
  <c r="D24" i="2"/>
  <c r="D26" i="2"/>
  <c r="D27" i="2"/>
  <c r="D30" i="2"/>
  <c r="D31" i="2"/>
  <c r="D32" i="2"/>
  <c r="D33" i="2"/>
  <c r="D34" i="2"/>
  <c r="D36" i="2"/>
  <c r="D37" i="2"/>
  <c r="D38" i="2"/>
  <c r="D39" i="2"/>
  <c r="D42" i="2"/>
  <c r="D43" i="2"/>
  <c r="D44" i="2"/>
  <c r="D45" i="2"/>
  <c r="D46" i="2"/>
  <c r="D48" i="2"/>
  <c r="D49" i="2"/>
  <c r="D50" i="2"/>
  <c r="D51" i="2"/>
  <c r="D53" i="2"/>
  <c r="D54" i="2"/>
  <c r="D57" i="2"/>
  <c r="D59" i="2"/>
  <c r="D63" i="2"/>
  <c r="D64" i="2"/>
  <c r="D12" i="2"/>
  <c r="G162" i="2"/>
  <c r="G160" i="2"/>
  <c r="G159" i="2"/>
  <c r="G157" i="2"/>
  <c r="G151" i="2"/>
  <c r="P150" i="2"/>
  <c r="S150" i="2" s="1"/>
  <c r="T150" i="2" s="1"/>
  <c r="G147" i="2"/>
  <c r="G144" i="2"/>
  <c r="G143" i="2"/>
  <c r="G141" i="2"/>
  <c r="G139" i="2"/>
  <c r="G136" i="2"/>
  <c r="G133" i="2"/>
  <c r="G131" i="2"/>
  <c r="G125" i="2"/>
  <c r="G127" i="2"/>
  <c r="G124" i="2"/>
  <c r="G120" i="2"/>
  <c r="G118" i="2"/>
  <c r="G116" i="2"/>
  <c r="G115" i="2"/>
  <c r="G112" i="2"/>
  <c r="G109" i="2"/>
  <c r="G108" i="2"/>
  <c r="G105" i="2"/>
  <c r="P104" i="2"/>
  <c r="S104" i="2" s="1"/>
  <c r="T104" i="2" s="1"/>
  <c r="G103" i="2"/>
  <c r="G99" i="2"/>
  <c r="G97" i="2"/>
  <c r="G96" i="2"/>
  <c r="G91" i="2"/>
  <c r="G89" i="2"/>
  <c r="G87" i="2"/>
  <c r="G85" i="2"/>
  <c r="P85" i="2" s="1"/>
  <c r="G84" i="2"/>
  <c r="G82" i="2"/>
  <c r="G81" i="2"/>
  <c r="G80" i="2"/>
  <c r="P80" i="2" s="1"/>
  <c r="G78" i="2"/>
  <c r="G77" i="2"/>
  <c r="P75" i="2"/>
  <c r="P73" i="2"/>
  <c r="S73" i="2" s="1"/>
  <c r="T73" i="2" s="1"/>
  <c r="G71" i="2"/>
  <c r="P67" i="2"/>
  <c r="T67" i="2" s="1"/>
  <c r="G23" i="2"/>
  <c r="G24" i="2"/>
  <c r="G26" i="2"/>
  <c r="G30" i="2"/>
  <c r="G32" i="2"/>
  <c r="G33" i="2"/>
  <c r="G34" i="2"/>
  <c r="G38" i="2"/>
  <c r="G44" i="2"/>
  <c r="G45" i="2"/>
  <c r="G46" i="2"/>
  <c r="P50" i="2"/>
  <c r="G51" i="2"/>
  <c r="G54" i="2"/>
  <c r="G57" i="2"/>
  <c r="G59" i="2"/>
  <c r="G64" i="2"/>
  <c r="P65" i="2"/>
  <c r="N66" i="2"/>
  <c r="O66" i="2"/>
  <c r="R66" i="2" s="1"/>
  <c r="P18" i="2"/>
  <c r="S18" i="2" s="1"/>
  <c r="T18" i="2" s="1"/>
  <c r="P29" i="2"/>
  <c r="P35" i="2"/>
  <c r="S35" i="2" s="1"/>
  <c r="T35" i="2" s="1"/>
  <c r="P47" i="2"/>
  <c r="P53" i="2"/>
  <c r="P61" i="2"/>
  <c r="S61" i="2" s="1"/>
  <c r="T61" i="2" s="1"/>
  <c r="P62" i="2"/>
  <c r="P63" i="2"/>
  <c r="S63" i="2" s="1"/>
  <c r="T63" i="2" s="1"/>
  <c r="P68" i="2"/>
  <c r="P69" i="2"/>
  <c r="P72" i="2"/>
  <c r="P79" i="2"/>
  <c r="P83" i="2"/>
  <c r="S83" i="2" s="1"/>
  <c r="T83" i="2" s="1"/>
  <c r="P95" i="2"/>
  <c r="S95" i="2" s="1"/>
  <c r="T95" i="2" s="1"/>
  <c r="P101" i="2"/>
  <c r="S101" i="2" s="1"/>
  <c r="T101" i="2" s="1"/>
  <c r="P100" i="2"/>
  <c r="P114" i="2"/>
  <c r="P132" i="2"/>
  <c r="P138" i="2"/>
  <c r="P148" i="2"/>
  <c r="S148" i="2" s="1"/>
  <c r="T148" i="2" s="1"/>
  <c r="C11" i="2"/>
  <c r="B11" i="2"/>
  <c r="N13" i="2"/>
  <c r="Q13" i="2" s="1"/>
  <c r="O13" i="2"/>
  <c r="R13" i="2" s="1"/>
  <c r="N14" i="2"/>
  <c r="O14" i="2"/>
  <c r="R14" i="2" s="1"/>
  <c r="N15" i="2"/>
  <c r="Q15" i="2" s="1"/>
  <c r="O15" i="2"/>
  <c r="N16" i="2"/>
  <c r="Q16" i="2" s="1"/>
  <c r="O16" i="2"/>
  <c r="R16" i="2" s="1"/>
  <c r="N17" i="2"/>
  <c r="Q17" i="2" s="1"/>
  <c r="O17" i="2"/>
  <c r="R17" i="2" s="1"/>
  <c r="N18" i="2"/>
  <c r="O18" i="2"/>
  <c r="R18" i="2" s="1"/>
  <c r="N19" i="2"/>
  <c r="Q19" i="2" s="1"/>
  <c r="O19" i="2"/>
  <c r="N20" i="2"/>
  <c r="Q20" i="2" s="1"/>
  <c r="O20" i="2"/>
  <c r="R20" i="2" s="1"/>
  <c r="N22" i="2"/>
  <c r="O22" i="2"/>
  <c r="R22" i="2" s="1"/>
  <c r="N23" i="2"/>
  <c r="Q23" i="2" s="1"/>
  <c r="O23" i="2"/>
  <c r="N24" i="2"/>
  <c r="Q24" i="2" s="1"/>
  <c r="O24" i="2"/>
  <c r="R24" i="2" s="1"/>
  <c r="N25" i="2"/>
  <c r="Q25" i="2" s="1"/>
  <c r="O25" i="2"/>
  <c r="R25" i="2" s="1"/>
  <c r="N26" i="2"/>
  <c r="Q26" i="2" s="1"/>
  <c r="O26" i="2"/>
  <c r="R26" i="2" s="1"/>
  <c r="N27" i="2"/>
  <c r="Q27" i="2" s="1"/>
  <c r="O27" i="2"/>
  <c r="N28" i="2"/>
  <c r="Q28" i="2" s="1"/>
  <c r="O28" i="2"/>
  <c r="R28" i="2" s="1"/>
  <c r="N29" i="2"/>
  <c r="Q29" i="2" s="1"/>
  <c r="O29" i="2"/>
  <c r="R29" i="2" s="1"/>
  <c r="N30" i="2"/>
  <c r="O30" i="2"/>
  <c r="R30" i="2" s="1"/>
  <c r="N31" i="2"/>
  <c r="Q31" i="2" s="1"/>
  <c r="O31" i="2"/>
  <c r="R31" i="2" s="1"/>
  <c r="N32" i="2"/>
  <c r="Q32" i="2" s="1"/>
  <c r="O32" i="2"/>
  <c r="R32" i="2" s="1"/>
  <c r="N33" i="2"/>
  <c r="Q33" i="2" s="1"/>
  <c r="O33" i="2"/>
  <c r="R33" i="2" s="1"/>
  <c r="N34" i="2"/>
  <c r="O34" i="2"/>
  <c r="R34" i="2" s="1"/>
  <c r="N35" i="2"/>
  <c r="Q35" i="2" s="1"/>
  <c r="O35" i="2"/>
  <c r="N36" i="2"/>
  <c r="Q36" i="2" s="1"/>
  <c r="O36" i="2"/>
  <c r="R36" i="2" s="1"/>
  <c r="N37" i="2"/>
  <c r="Q37" i="2" s="1"/>
  <c r="O37" i="2"/>
  <c r="R37" i="2" s="1"/>
  <c r="N38" i="2"/>
  <c r="O38" i="2"/>
  <c r="R38" i="2" s="1"/>
  <c r="N39" i="2"/>
  <c r="Q39" i="2" s="1"/>
  <c r="O39" i="2"/>
  <c r="N40" i="2"/>
  <c r="Q40" i="2" s="1"/>
  <c r="O40" i="2"/>
  <c r="R40" i="2" s="1"/>
  <c r="N42" i="2"/>
  <c r="O42" i="2"/>
  <c r="R42" i="2" s="1"/>
  <c r="N43" i="2"/>
  <c r="Q43" i="2" s="1"/>
  <c r="O43" i="2"/>
  <c r="N44" i="2"/>
  <c r="Q44" i="2" s="1"/>
  <c r="O44" i="2"/>
  <c r="R44" i="2" s="1"/>
  <c r="N45" i="2"/>
  <c r="Q45" i="2" s="1"/>
  <c r="O45" i="2"/>
  <c r="R45" i="2" s="1"/>
  <c r="N46" i="2"/>
  <c r="O46" i="2"/>
  <c r="R46" i="2" s="1"/>
  <c r="N47" i="2"/>
  <c r="Q47" i="2" s="1"/>
  <c r="O47" i="2"/>
  <c r="R47" i="2" s="1"/>
  <c r="N48" i="2"/>
  <c r="Q48" i="2" s="1"/>
  <c r="O48" i="2"/>
  <c r="R48" i="2" s="1"/>
  <c r="N51" i="2"/>
  <c r="Q51" i="2" s="1"/>
  <c r="O51" i="2"/>
  <c r="N52" i="2"/>
  <c r="Q52" i="2" s="1"/>
  <c r="O52" i="2"/>
  <c r="R52" i="2" s="1"/>
  <c r="N53" i="2"/>
  <c r="Q53" i="2" s="1"/>
  <c r="O53" i="2"/>
  <c r="R53" i="2" s="1"/>
  <c r="N54" i="2"/>
  <c r="O54" i="2"/>
  <c r="R54" i="2" s="1"/>
  <c r="N55" i="2"/>
  <c r="Q55" i="2" s="1"/>
  <c r="O55" i="2"/>
  <c r="N57" i="2"/>
  <c r="Q57" i="2" s="1"/>
  <c r="O57" i="2"/>
  <c r="R57" i="2" s="1"/>
  <c r="N58" i="2"/>
  <c r="Q58" i="2" s="1"/>
  <c r="O58" i="2"/>
  <c r="R58" i="2" s="1"/>
  <c r="N59" i="2"/>
  <c r="Q59" i="2" s="1"/>
  <c r="O59" i="2"/>
  <c r="N60" i="2"/>
  <c r="Q60" i="2" s="1"/>
  <c r="O60" i="2"/>
  <c r="R60" i="2" s="1"/>
  <c r="N61" i="2"/>
  <c r="Q61" i="2" s="1"/>
  <c r="O61" i="2"/>
  <c r="R61" i="2" s="1"/>
  <c r="R62" i="2"/>
  <c r="N63" i="2"/>
  <c r="Q63" i="2" s="1"/>
  <c r="O63" i="2"/>
  <c r="R63" i="2" s="1"/>
  <c r="N64" i="2"/>
  <c r="Q64" i="2" s="1"/>
  <c r="O64" i="2"/>
  <c r="R64" i="2" s="1"/>
  <c r="N67" i="2"/>
  <c r="Q67" i="2" s="1"/>
  <c r="O67" i="2"/>
  <c r="N70" i="2"/>
  <c r="O70" i="2"/>
  <c r="R70" i="2" s="1"/>
  <c r="N71" i="2"/>
  <c r="Q71" i="2" s="1"/>
  <c r="O71" i="2"/>
  <c r="N73" i="2"/>
  <c r="Q73" i="2" s="1"/>
  <c r="O73" i="2"/>
  <c r="R73" i="2" s="1"/>
  <c r="N74" i="2"/>
  <c r="Q74" i="2" s="1"/>
  <c r="O74" i="2"/>
  <c r="R74" i="2" s="1"/>
  <c r="N75" i="2"/>
  <c r="Q75" i="2" s="1"/>
  <c r="O75" i="2"/>
  <c r="N76" i="2"/>
  <c r="Q76" i="2" s="1"/>
  <c r="O76" i="2"/>
  <c r="R76" i="2" s="1"/>
  <c r="N77" i="2"/>
  <c r="Q77" i="2" s="1"/>
  <c r="O77" i="2"/>
  <c r="R77" i="2" s="1"/>
  <c r="N78" i="2"/>
  <c r="O78" i="2"/>
  <c r="R78" i="2" s="1"/>
  <c r="N79" i="2"/>
  <c r="Q79" i="2" s="1"/>
  <c r="O79" i="2"/>
  <c r="N80" i="2"/>
  <c r="Q80" i="2" s="1"/>
  <c r="O80" i="2"/>
  <c r="R80" i="2" s="1"/>
  <c r="N81" i="2"/>
  <c r="Q81" i="2" s="1"/>
  <c r="O81" i="2"/>
  <c r="R81" i="2" s="1"/>
  <c r="N82" i="2"/>
  <c r="O82" i="2"/>
  <c r="R82" i="2" s="1"/>
  <c r="N83" i="2"/>
  <c r="Q83" i="2" s="1"/>
  <c r="O83" i="2"/>
  <c r="N84" i="2"/>
  <c r="Q84" i="2" s="1"/>
  <c r="O84" i="2"/>
  <c r="R84" i="2" s="1"/>
  <c r="N85" i="2"/>
  <c r="Q85" i="2" s="1"/>
  <c r="O85" i="2"/>
  <c r="R85" i="2" s="1"/>
  <c r="R86" i="2"/>
  <c r="N87" i="2"/>
  <c r="Q87" i="2" s="1"/>
  <c r="O87" i="2"/>
  <c r="N88" i="2"/>
  <c r="Q88" i="2" s="1"/>
  <c r="O88" i="2"/>
  <c r="R88" i="2" s="1"/>
  <c r="N89" i="2"/>
  <c r="Q89" i="2" s="1"/>
  <c r="O89" i="2"/>
  <c r="R89" i="2" s="1"/>
  <c r="Q90" i="2"/>
  <c r="N91" i="2"/>
  <c r="Q91" i="2" s="1"/>
  <c r="O91" i="2"/>
  <c r="N92" i="2"/>
  <c r="Q92" i="2" s="1"/>
  <c r="O92" i="2"/>
  <c r="R92" i="2" s="1"/>
  <c r="N94" i="2"/>
  <c r="O94" i="2"/>
  <c r="R94" i="2" s="1"/>
  <c r="N95" i="2"/>
  <c r="Q95" i="2" s="1"/>
  <c r="O95" i="2"/>
  <c r="R95" i="2" s="1"/>
  <c r="N101" i="2"/>
  <c r="Q101" i="2" s="1"/>
  <c r="O101" i="2"/>
  <c r="R101" i="2" s="1"/>
  <c r="N96" i="2"/>
  <c r="Q96" i="2" s="1"/>
  <c r="O96" i="2"/>
  <c r="R96" i="2" s="1"/>
  <c r="N97" i="2"/>
  <c r="O97" i="2"/>
  <c r="R97" i="2" s="1"/>
  <c r="N98" i="2"/>
  <c r="Q98" i="2" s="1"/>
  <c r="O98" i="2"/>
  <c r="N99" i="2"/>
  <c r="Q99" i="2" s="1"/>
  <c r="O99" i="2"/>
  <c r="R99" i="2" s="1"/>
  <c r="N102" i="2"/>
  <c r="Q102" i="2" s="1"/>
  <c r="O102" i="2"/>
  <c r="R102" i="2" s="1"/>
  <c r="N103" i="2"/>
  <c r="Q103" i="2" s="1"/>
  <c r="O103" i="2"/>
  <c r="N104" i="2"/>
  <c r="Q104" i="2" s="1"/>
  <c r="O104" i="2"/>
  <c r="R104" i="2" s="1"/>
  <c r="N105" i="2"/>
  <c r="Q105" i="2" s="1"/>
  <c r="O105" i="2"/>
  <c r="R105" i="2" s="1"/>
  <c r="N106" i="2"/>
  <c r="O106" i="2"/>
  <c r="R106" i="2" s="1"/>
  <c r="N107" i="2"/>
  <c r="Q107" i="2" s="1"/>
  <c r="O107" i="2"/>
  <c r="N108" i="2"/>
  <c r="Q108" i="2" s="1"/>
  <c r="O108" i="2"/>
  <c r="R108" i="2" s="1"/>
  <c r="N109" i="2"/>
  <c r="Q109" i="2" s="1"/>
  <c r="O109" i="2"/>
  <c r="R109" i="2" s="1"/>
  <c r="N110" i="2"/>
  <c r="O110" i="2"/>
  <c r="R110" i="2" s="1"/>
  <c r="N111" i="2"/>
  <c r="Q111" i="2" s="1"/>
  <c r="O111" i="2"/>
  <c r="R111" i="2" s="1"/>
  <c r="N112" i="2"/>
  <c r="Q112" i="2" s="1"/>
  <c r="O112" i="2"/>
  <c r="R112" i="2" s="1"/>
  <c r="N113" i="2"/>
  <c r="Q113" i="2" s="1"/>
  <c r="O113" i="2"/>
  <c r="R113" i="2" s="1"/>
  <c r="N114" i="2"/>
  <c r="O114" i="2"/>
  <c r="R114" i="2" s="1"/>
  <c r="N115" i="2"/>
  <c r="Q115" i="2" s="1"/>
  <c r="O115" i="2"/>
  <c r="N116" i="2"/>
  <c r="Q116" i="2" s="1"/>
  <c r="O116" i="2"/>
  <c r="R116" i="2" s="1"/>
  <c r="N117" i="2"/>
  <c r="Q117" i="2" s="1"/>
  <c r="O117" i="2"/>
  <c r="R117" i="2" s="1"/>
  <c r="N118" i="2"/>
  <c r="O118" i="2"/>
  <c r="R118" i="2" s="1"/>
  <c r="N119" i="2"/>
  <c r="Q119" i="2" s="1"/>
  <c r="O119" i="2"/>
  <c r="N120" i="2"/>
  <c r="Q120" i="2" s="1"/>
  <c r="O120" i="2"/>
  <c r="R120" i="2" s="1"/>
  <c r="N122" i="2"/>
  <c r="Q122" i="2" s="1"/>
  <c r="O122" i="2"/>
  <c r="R122" i="2" s="1"/>
  <c r="N123" i="2"/>
  <c r="Q123" i="2" s="1"/>
  <c r="O123" i="2"/>
  <c r="N124" i="2"/>
  <c r="Q124" i="2" s="1"/>
  <c r="O124" i="2"/>
  <c r="R124" i="2" s="1"/>
  <c r="N127" i="2"/>
  <c r="Q127" i="2" s="1"/>
  <c r="O127" i="2"/>
  <c r="R127" i="2" s="1"/>
  <c r="N128" i="2"/>
  <c r="O128" i="2"/>
  <c r="R128" i="2" s="1"/>
  <c r="N125" i="2"/>
  <c r="Q125" i="2" s="1"/>
  <c r="O125" i="2"/>
  <c r="R125" i="2" s="1"/>
  <c r="N126" i="2"/>
  <c r="Q126" i="2" s="1"/>
  <c r="O126" i="2"/>
  <c r="R126" i="2" s="1"/>
  <c r="N131" i="2"/>
  <c r="O131" i="2"/>
  <c r="R131" i="2" s="1"/>
  <c r="N132" i="2"/>
  <c r="Q132" i="2" s="1"/>
  <c r="O132" i="2"/>
  <c r="R132" i="2" s="1"/>
  <c r="N133" i="2"/>
  <c r="Q133" i="2" s="1"/>
  <c r="O133" i="2"/>
  <c r="R133" i="2" s="1"/>
  <c r="N134" i="2"/>
  <c r="O134" i="2"/>
  <c r="R134" i="2" s="1"/>
  <c r="N136" i="2"/>
  <c r="Q136" i="2" s="1"/>
  <c r="O136" i="2"/>
  <c r="R136" i="2" s="1"/>
  <c r="N137" i="2"/>
  <c r="Q137" i="2" s="1"/>
  <c r="O137" i="2"/>
  <c r="R137" i="2" s="1"/>
  <c r="N139" i="2"/>
  <c r="Q139" i="2" s="1"/>
  <c r="O139" i="2"/>
  <c r="N141" i="2"/>
  <c r="Q141" i="2" s="1"/>
  <c r="O141" i="2"/>
  <c r="R141" i="2" s="1"/>
  <c r="N142" i="2"/>
  <c r="O142" i="2"/>
  <c r="R142" i="2" s="1"/>
  <c r="N143" i="2"/>
  <c r="Q143" i="2" s="1"/>
  <c r="O143" i="2"/>
  <c r="N144" i="2"/>
  <c r="Q144" i="2" s="1"/>
  <c r="O144" i="2"/>
  <c r="R144" i="2" s="1"/>
  <c r="N145" i="2"/>
  <c r="Q145" i="2" s="1"/>
  <c r="O145" i="2"/>
  <c r="R145" i="2" s="1"/>
  <c r="N146" i="2"/>
  <c r="O146" i="2"/>
  <c r="R146" i="2" s="1"/>
  <c r="N147" i="2"/>
  <c r="Q147" i="2" s="1"/>
  <c r="O147" i="2"/>
  <c r="N148" i="2"/>
  <c r="Q148" i="2" s="1"/>
  <c r="O148" i="2"/>
  <c r="R148" i="2" s="1"/>
  <c r="N149" i="2"/>
  <c r="Q149" i="2" s="1"/>
  <c r="O149" i="2"/>
  <c r="R149" i="2" s="1"/>
  <c r="N150" i="2"/>
  <c r="Q150" i="2" s="1"/>
  <c r="O150" i="2"/>
  <c r="R150" i="2" s="1"/>
  <c r="N151" i="2"/>
  <c r="Q151" i="2" s="1"/>
  <c r="O151" i="2"/>
  <c r="N152" i="2"/>
  <c r="Q152" i="2" s="1"/>
  <c r="O152" i="2"/>
  <c r="R152" i="2" s="1"/>
  <c r="N154" i="2"/>
  <c r="Q154" i="2" s="1"/>
  <c r="O154" i="2"/>
  <c r="R154" i="2" s="1"/>
  <c r="N155" i="2"/>
  <c r="Q155" i="2" s="1"/>
  <c r="O155" i="2"/>
  <c r="R155" i="2" s="1"/>
  <c r="N157" i="2"/>
  <c r="Q157" i="2" s="1"/>
  <c r="O157" i="2"/>
  <c r="R157" i="2" s="1"/>
  <c r="N158" i="2"/>
  <c r="O158" i="2"/>
  <c r="R158" i="2" s="1"/>
  <c r="N159" i="2"/>
  <c r="Q159" i="2" s="1"/>
  <c r="O159" i="2"/>
  <c r="N160" i="2"/>
  <c r="Q160" i="2" s="1"/>
  <c r="O160" i="2"/>
  <c r="R160" i="2" s="1"/>
  <c r="N161" i="2"/>
  <c r="Q161" i="2" s="1"/>
  <c r="O161" i="2"/>
  <c r="R161" i="2" s="1"/>
  <c r="N162" i="2"/>
  <c r="O162" i="2"/>
  <c r="R162" i="2" s="1"/>
  <c r="Q21" i="2"/>
  <c r="R21" i="2"/>
  <c r="Q41" i="2"/>
  <c r="R41" i="2"/>
  <c r="R50" i="2"/>
  <c r="Q56" i="2"/>
  <c r="R56" i="2"/>
  <c r="Q65" i="2"/>
  <c r="R65" i="2"/>
  <c r="Q68" i="2"/>
  <c r="R68" i="2"/>
  <c r="Q69" i="2"/>
  <c r="R69" i="2"/>
  <c r="Q72" i="2"/>
  <c r="R72" i="2"/>
  <c r="R90" i="2"/>
  <c r="Q93" i="2"/>
  <c r="R93" i="2"/>
  <c r="R100" i="2"/>
  <c r="Q121" i="2"/>
  <c r="R121" i="2"/>
  <c r="Q129" i="2"/>
  <c r="R129" i="2"/>
  <c r="Q130" i="2"/>
  <c r="R138" i="2"/>
  <c r="Q140" i="2"/>
  <c r="R140" i="2"/>
  <c r="R153" i="2"/>
  <c r="L157" i="2" l="1"/>
  <c r="L144" i="2"/>
  <c r="L159" i="2"/>
  <c r="L85" i="2"/>
  <c r="L54" i="2"/>
  <c r="L33" i="2"/>
  <c r="L81" i="2"/>
  <c r="L82" i="2"/>
  <c r="L147" i="2"/>
  <c r="L160" i="2"/>
  <c r="L38" i="2"/>
  <c r="L30" i="2"/>
  <c r="L131" i="2"/>
  <c r="L141" i="2"/>
  <c r="L151" i="2"/>
  <c r="L162" i="2"/>
  <c r="O49" i="2"/>
  <c r="R49" i="2" s="1"/>
  <c r="P109" i="2"/>
  <c r="L44" i="2"/>
  <c r="P88" i="2"/>
  <c r="S88" i="2"/>
  <c r="T88" i="2" s="1"/>
  <c r="P25" i="2"/>
  <c r="S25" i="2" s="1"/>
  <c r="T25" i="2" s="1"/>
  <c r="L32" i="2"/>
  <c r="P41" i="2"/>
  <c r="S41" i="2" s="1"/>
  <c r="T41" i="2" s="1"/>
  <c r="P158" i="2"/>
  <c r="P162" i="2"/>
  <c r="P106" i="2"/>
  <c r="T106" i="2" s="1"/>
  <c r="S127" i="2"/>
  <c r="T127" i="2" s="1"/>
  <c r="P46" i="2"/>
  <c r="P84" i="2"/>
  <c r="P113" i="2"/>
  <c r="T113" i="2" s="1"/>
  <c r="P120" i="2"/>
  <c r="P136" i="2"/>
  <c r="P51" i="2"/>
  <c r="P92" i="2"/>
  <c r="T92" i="2" s="1"/>
  <c r="P157" i="2"/>
  <c r="P161" i="2"/>
  <c r="T161" i="2" s="1"/>
  <c r="P76" i="2"/>
  <c r="T76" i="2" s="1"/>
  <c r="P116" i="2"/>
  <c r="P34" i="2"/>
  <c r="P81" i="2"/>
  <c r="P15" i="2"/>
  <c r="P105" i="2"/>
  <c r="J11" i="2"/>
  <c r="T50" i="2"/>
  <c r="P45" i="2"/>
  <c r="P127" i="2"/>
  <c r="P55" i="2"/>
  <c r="P96" i="2"/>
  <c r="P128" i="2"/>
  <c r="P137" i="2"/>
  <c r="T137" i="2" s="1"/>
  <c r="P37" i="2"/>
  <c r="T37" i="2" s="1"/>
  <c r="G49" i="2"/>
  <c r="G156" i="2"/>
  <c r="S45" i="2"/>
  <c r="P89" i="2"/>
  <c r="P99" i="2"/>
  <c r="P26" i="2"/>
  <c r="P142" i="2"/>
  <c r="S77" i="2"/>
  <c r="T77" i="2" s="1"/>
  <c r="S133" i="2"/>
  <c r="S140" i="2"/>
  <c r="T140" i="2" s="1"/>
  <c r="S57" i="2"/>
  <c r="T57" i="2" s="1"/>
  <c r="S24" i="2"/>
  <c r="P57" i="2"/>
  <c r="P64" i="2"/>
  <c r="P131" i="2"/>
  <c r="S89" i="2"/>
  <c r="T89" i="2" s="1"/>
  <c r="S136" i="2"/>
  <c r="T136" i="2" s="1"/>
  <c r="S99" i="2"/>
  <c r="T99" i="2" s="1"/>
  <c r="S81" i="2"/>
  <c r="S90" i="2"/>
  <c r="T90" i="2" s="1"/>
  <c r="P59" i="2"/>
  <c r="P48" i="2"/>
  <c r="T48" i="2" s="1"/>
  <c r="P43" i="2"/>
  <c r="P38" i="2"/>
  <c r="P33" i="2"/>
  <c r="P19" i="2"/>
  <c r="P14" i="2"/>
  <c r="P71" i="2"/>
  <c r="P77" i="2"/>
  <c r="P87" i="2"/>
  <c r="P91" i="2"/>
  <c r="P108" i="2"/>
  <c r="P144" i="2"/>
  <c r="P160" i="2"/>
  <c r="F11" i="2"/>
  <c r="S56" i="2"/>
  <c r="T56" i="2" s="1"/>
  <c r="P58" i="2"/>
  <c r="S58" i="2" s="1"/>
  <c r="T58" i="2" s="1"/>
  <c r="P32" i="2"/>
  <c r="P124" i="2"/>
  <c r="G12" i="2"/>
  <c r="P12" i="2" s="1"/>
  <c r="P118" i="2"/>
  <c r="S121" i="2"/>
  <c r="T121" i="2" s="1"/>
  <c r="S109" i="2"/>
  <c r="T109" i="2" s="1"/>
  <c r="S26" i="2"/>
  <c r="T26" i="2" s="1"/>
  <c r="S114" i="2"/>
  <c r="T114" i="2" s="1"/>
  <c r="S47" i="2"/>
  <c r="T47" i="2" s="1"/>
  <c r="R12" i="2"/>
  <c r="S116" i="2"/>
  <c r="T116" i="2" s="1"/>
  <c r="T29" i="2"/>
  <c r="S79" i="2"/>
  <c r="T79" i="2" s="1"/>
  <c r="P54" i="2"/>
  <c r="P133" i="2"/>
  <c r="P149" i="2"/>
  <c r="T149" i="2" s="1"/>
  <c r="S68" i="2"/>
  <c r="T68" i="2" s="1"/>
  <c r="S53" i="2"/>
  <c r="T53" i="2" s="1"/>
  <c r="S120" i="2"/>
  <c r="T120" i="2" s="1"/>
  <c r="S96" i="2"/>
  <c r="T96" i="2" s="1"/>
  <c r="P145" i="2"/>
  <c r="T145" i="2" s="1"/>
  <c r="P40" i="2"/>
  <c r="P16" i="2"/>
  <c r="N49" i="2"/>
  <c r="Q49" i="2" s="1"/>
  <c r="S52" i="2"/>
  <c r="T52" i="2" s="1"/>
  <c r="S105" i="2"/>
  <c r="T105" i="2" s="1"/>
  <c r="S84" i="2"/>
  <c r="T84" i="2" s="1"/>
  <c r="S33" i="2"/>
  <c r="P60" i="2"/>
  <c r="S60" i="2" s="1"/>
  <c r="T60" i="2" s="1"/>
  <c r="E11" i="2"/>
  <c r="S69" i="2"/>
  <c r="T69" i="2" s="1"/>
  <c r="K156" i="2"/>
  <c r="N156" i="2"/>
  <c r="Q156" i="2" s="1"/>
  <c r="S156" i="2" s="1"/>
  <c r="I11" i="2"/>
  <c r="K49" i="2"/>
  <c r="P141" i="2"/>
  <c r="S141" i="2"/>
  <c r="S93" i="2"/>
  <c r="T93" i="2" s="1"/>
  <c r="P44" i="2"/>
  <c r="P30" i="2"/>
  <c r="D11" i="2"/>
  <c r="S72" i="2"/>
  <c r="T72" i="2" s="1"/>
  <c r="S85" i="2"/>
  <c r="T85" i="2" s="1"/>
  <c r="Q12" i="2"/>
  <c r="P103" i="2"/>
  <c r="P111" i="2"/>
  <c r="S111" i="2" s="1"/>
  <c r="T111" i="2" s="1"/>
  <c r="P115" i="2"/>
  <c r="P119" i="2"/>
  <c r="P125" i="2"/>
  <c r="P130" i="2"/>
  <c r="P135" i="2"/>
  <c r="P139" i="2"/>
  <c r="P143" i="2"/>
  <c r="P147" i="2"/>
  <c r="P151" i="2"/>
  <c r="P155" i="2"/>
  <c r="P159" i="2"/>
  <c r="P66" i="2"/>
  <c r="P70" i="2"/>
  <c r="P74" i="2"/>
  <c r="T74" i="2" s="1"/>
  <c r="P78" i="2"/>
  <c r="P82" i="2"/>
  <c r="P86" i="2"/>
  <c r="S86" i="2" s="1"/>
  <c r="T86" i="2" s="1"/>
  <c r="P94" i="2"/>
  <c r="P97" i="2"/>
  <c r="S65" i="2"/>
  <c r="T65" i="2" s="1"/>
  <c r="Q110" i="2"/>
  <c r="Q94" i="2"/>
  <c r="R67" i="2"/>
  <c r="Q158" i="2"/>
  <c r="R147" i="2"/>
  <c r="S147" i="2" s="1"/>
  <c r="T147" i="2" s="1"/>
  <c r="Q162" i="2"/>
  <c r="S162" i="2" s="1"/>
  <c r="T162" i="2" s="1"/>
  <c r="R151" i="2"/>
  <c r="S151" i="2" s="1"/>
  <c r="T151" i="2" s="1"/>
  <c r="Q146" i="2"/>
  <c r="S135" i="2"/>
  <c r="T135" i="2" s="1"/>
  <c r="Q131" i="2"/>
  <c r="S131" i="2" s="1"/>
  <c r="R119" i="2"/>
  <c r="Q114" i="2"/>
  <c r="R103" i="2"/>
  <c r="S103" i="2" s="1"/>
  <c r="T103" i="2" s="1"/>
  <c r="Q97" i="2"/>
  <c r="S97" i="2" s="1"/>
  <c r="T97" i="2" s="1"/>
  <c r="R87" i="2"/>
  <c r="S87" i="2" s="1"/>
  <c r="T87" i="2" s="1"/>
  <c r="Q82" i="2"/>
  <c r="S82" i="2" s="1"/>
  <c r="T82" i="2" s="1"/>
  <c r="R71" i="2"/>
  <c r="S71" i="2" s="1"/>
  <c r="T71" i="2" s="1"/>
  <c r="Q66" i="2"/>
  <c r="R55" i="2"/>
  <c r="Q50" i="2"/>
  <c r="R39" i="2"/>
  <c r="Q34" i="2"/>
  <c r="S34" i="2" s="1"/>
  <c r="T34" i="2" s="1"/>
  <c r="R23" i="2"/>
  <c r="S23" i="2" s="1"/>
  <c r="Q18" i="2"/>
  <c r="Q78" i="2"/>
  <c r="S78" i="2" s="1"/>
  <c r="R51" i="2"/>
  <c r="S51" i="2" s="1"/>
  <c r="T51" i="2" s="1"/>
  <c r="Q46" i="2"/>
  <c r="S46" i="2" s="1"/>
  <c r="T46" i="2" s="1"/>
  <c r="R35" i="2"/>
  <c r="Q30" i="2"/>
  <c r="S30" i="2" s="1"/>
  <c r="R19" i="2"/>
  <c r="Q14" i="2"/>
  <c r="T14" i="2" s="1"/>
  <c r="Q128" i="2"/>
  <c r="R115" i="2"/>
  <c r="S115" i="2" s="1"/>
  <c r="T115" i="2" s="1"/>
  <c r="R98" i="2"/>
  <c r="R83" i="2"/>
  <c r="Q62" i="2"/>
  <c r="S157" i="2"/>
  <c r="T157" i="2" s="1"/>
  <c r="Q142" i="2"/>
  <c r="R159" i="2"/>
  <c r="S159" i="2" s="1"/>
  <c r="T159" i="2" s="1"/>
  <c r="Q153" i="2"/>
  <c r="S153" i="2" s="1"/>
  <c r="T153" i="2" s="1"/>
  <c r="R143" i="2"/>
  <c r="S143" i="2" s="1"/>
  <c r="T143" i="2" s="1"/>
  <c r="Q138" i="2"/>
  <c r="S138" i="2" s="1"/>
  <c r="T138" i="2" s="1"/>
  <c r="R130" i="2"/>
  <c r="Q106" i="2"/>
  <c r="R79" i="2"/>
  <c r="Q42" i="2"/>
  <c r="R15" i="2"/>
  <c r="T15" i="2" s="1"/>
  <c r="R139" i="2"/>
  <c r="S139" i="2" s="1"/>
  <c r="T139" i="2" s="1"/>
  <c r="Q134" i="2"/>
  <c r="R123" i="2"/>
  <c r="Q118" i="2"/>
  <c r="S118" i="2" s="1"/>
  <c r="T118" i="2" s="1"/>
  <c r="R107" i="2"/>
  <c r="Q100" i="2"/>
  <c r="R91" i="2"/>
  <c r="S91" i="2" s="1"/>
  <c r="T91" i="2" s="1"/>
  <c r="Q86" i="2"/>
  <c r="R75" i="2"/>
  <c r="T75" i="2" s="1"/>
  <c r="Q70" i="2"/>
  <c r="T70" i="2" s="1"/>
  <c r="R59" i="2"/>
  <c r="S59" i="2" s="1"/>
  <c r="T59" i="2" s="1"/>
  <c r="Q54" i="2"/>
  <c r="R43" i="2"/>
  <c r="Q38" i="2"/>
  <c r="S38" i="2" s="1"/>
  <c r="R27" i="2"/>
  <c r="Q22" i="2"/>
  <c r="S129" i="2"/>
  <c r="T129" i="2" s="1"/>
  <c r="S125" i="2"/>
  <c r="T125" i="2" s="1"/>
  <c r="S132" i="2"/>
  <c r="T132" i="2" s="1"/>
  <c r="S112" i="2"/>
  <c r="S80" i="2"/>
  <c r="T80" i="2" s="1"/>
  <c r="S64" i="2"/>
  <c r="T64" i="2" s="1"/>
  <c r="S32" i="2"/>
  <c r="S16" i="2"/>
  <c r="T16" i="2" s="1"/>
  <c r="S160" i="2"/>
  <c r="T160" i="2" s="1"/>
  <c r="S144" i="2"/>
  <c r="T144" i="2" s="1"/>
  <c r="S124" i="2"/>
  <c r="T124" i="2" s="1"/>
  <c r="S108" i="2"/>
  <c r="T108" i="2" s="1"/>
  <c r="S44" i="2"/>
  <c r="L49" i="2" l="1"/>
  <c r="T128" i="2"/>
  <c r="T158" i="2"/>
  <c r="S49" i="2"/>
  <c r="T54" i="2"/>
  <c r="T44" i="2"/>
  <c r="T45" i="2"/>
  <c r="T38" i="2"/>
  <c r="T78" i="2"/>
  <c r="P22" i="2"/>
  <c r="S22" i="2" s="1"/>
  <c r="T22" i="2" s="1"/>
  <c r="P21" i="2"/>
  <c r="S21" i="2" s="1"/>
  <c r="T21" i="2" s="1"/>
  <c r="P23" i="2"/>
  <c r="T23" i="2" s="1"/>
  <c r="P112" i="2"/>
  <c r="T112" i="2" s="1"/>
  <c r="P110" i="2"/>
  <c r="T110" i="2" s="1"/>
  <c r="T32" i="2"/>
  <c r="T43" i="2"/>
  <c r="P24" i="2"/>
  <c r="T24" i="2" s="1"/>
  <c r="T55" i="2"/>
  <c r="T142" i="2"/>
  <c r="T19" i="2"/>
  <c r="T131" i="2"/>
  <c r="T133" i="2"/>
  <c r="L156" i="2"/>
  <c r="P154" i="2"/>
  <c r="S154" i="2" s="1"/>
  <c r="T154" i="2" s="1"/>
  <c r="T33" i="2"/>
  <c r="T141" i="2"/>
  <c r="T30" i="2"/>
  <c r="P156" i="2"/>
  <c r="T156" i="2" s="1"/>
  <c r="T81" i="2"/>
  <c r="P49" i="2"/>
  <c r="S12" i="2"/>
  <c r="G11" i="2"/>
  <c r="S40" i="2"/>
  <c r="T40" i="2" s="1"/>
  <c r="S130" i="2"/>
  <c r="T130" i="2" s="1"/>
  <c r="S62" i="2"/>
  <c r="T62" i="2" s="1"/>
  <c r="O11" i="2"/>
  <c r="S155" i="2"/>
  <c r="T155" i="2" s="1"/>
  <c r="R11" i="2"/>
  <c r="S119" i="2"/>
  <c r="T119" i="2" s="1"/>
  <c r="S66" i="2"/>
  <c r="T66" i="2" s="1"/>
  <c r="S94" i="2"/>
  <c r="T94" i="2" s="1"/>
  <c r="K11" i="2"/>
  <c r="N11" i="2"/>
  <c r="S100" i="2"/>
  <c r="T100" i="2" s="1"/>
  <c r="Q11" i="2"/>
  <c r="P163" i="2" l="1"/>
  <c r="T12" i="2"/>
  <c r="P11" i="2"/>
  <c r="T49" i="2"/>
  <c r="S11" i="2"/>
  <c r="T11" i="2" l="1"/>
  <c r="S13" i="2"/>
  <c r="T13" i="2" l="1"/>
  <c r="S16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tc={D583F5F8-DB2D-C340-B7D6-A31BF093909F}</author>
    <author>tc={C0EEA3EF-516B-4642-BD9E-8E5C6E52DA53}</author>
    <author>tc={E9201ADE-A912-8D49-861D-59EBE9FC7D82}</author>
    <author>tc={CEC30F2C-EB2E-E148-8858-A15644DB093E}</author>
    <author>tc={586AAD9C-5C3A-BF45-AF84-2DC5A2C74A15}</author>
    <author>tc={965A68FF-7D90-FC45-8324-19C0D6EC7241}</author>
    <author>tc={A46EA047-19D8-584D-B120-CA4C28487744}</author>
    <author>tc={BFC88F5B-007C-A149-9752-A1AF1BB45ADB}</author>
    <author>tc={E4807BEC-DD42-6E4C-8B61-11EED134E46D}</author>
    <author>tc={55C1EB5E-A65C-7949-8B3F-167AEEEFAA42}</author>
  </authors>
  <commentList>
    <comment ref="S21" authorId="0" shapeId="0" xr:uid="{D583F5F8-DB2D-C340-B7D6-A31BF093909F}">
      <text>
        <t>[Threaded comment]
Your version of Excel allows you to read this threaded comment; however, any edits to it will get removed if the file is opened in a newer version of Excel. Learn more: https://go.microsoft.com/fwlink/?linkid=870924
Comment:
    LA says loss is £763,937 but that wouldn’t work even if all were primary pupils. I’ve used ave value.</t>
      </text>
    </comment>
    <comment ref="P28" authorId="1" shapeId="0" xr:uid="{C0EEA3EF-516B-4642-BD9E-8E5C6E52DA53}">
      <text>
        <t>[Threaded comment]
Your version of Excel allows you to read this threaded comment; however, any edits to it will get removed if the file is opened in a newer version of Excel. Learn more: https://go.microsoft.com/fwlink/?linkid=870924
Comment:
    Commentary by LA says 416 extra but figures only work out at 345.</t>
      </text>
    </comment>
    <comment ref="G31" authorId="2" shapeId="0" xr:uid="{E9201ADE-A912-8D49-861D-59EBE9FC7D82}">
      <text>
        <t>[Threaded comment]
Your version of Excel allows you to read this threaded comment; however, any edits to it will get removed if the file is opened in a newer version of Excel. Learn more: https://go.microsoft.com/fwlink/?linkid=870924
Comment:
    Taken from DfE FSM data release Oct 2020 as not provided by LA in FOI response</t>
      </text>
    </comment>
    <comment ref="E49" authorId="3" shapeId="0" xr:uid="{CEC30F2C-EB2E-E148-8858-A15644DB093E}">
      <text>
        <t>[Threaded comment]
Your version of Excel allows you to read this threaded comment; however, any edits to it will get removed if the file is opened in a newer version of Excel. Learn more: https://go.microsoft.com/fwlink/?linkid=870924
Comment:
    DCC provided by phase not age, with special schools separate so have apportioned them in Jan 2021 figures to fit the amount.</t>
      </text>
    </comment>
    <comment ref="P50" authorId="4" shapeId="0" xr:uid="{586AAD9C-5C3A-BF45-AF84-2DC5A2C74A15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the value given by LA. Calculated as 905k/1250=724</t>
      </text>
    </comment>
    <comment ref="P56" authorId="5" shapeId="0" xr:uid="{965A68FF-7D90-FC45-8324-19C0D6EC7241}">
      <text>
        <t>[Threaded comment]
Your version of Excel allows you to read this threaded comment; however, any edits to it will get removed if the file is opened in a newer version of Excel. Learn more: https://go.microsoft.com/fwlink/?linkid=870924
Comment:
    Calculated difference from total census data Oct 2020 to Jan 2021 is only 724 pupils but LA gives primary/sec breakdown totalling 1098 which has been used. Jan 2021 estimate has therefore been adjusted to match this.</t>
      </text>
    </comment>
    <comment ref="A80" authorId="6" shapeId="0" xr:uid="{A46EA047-19D8-584D-B120-CA4C28487744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answer the question, just said significantly more pupils eligible in January.</t>
      </text>
    </comment>
    <comment ref="P106" authorId="7" shapeId="0" xr:uid="{BFC88F5B-007C-A149-9752-A1AF1BB45ADB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all primary, OCC says would lose £2m so have divided that by £1345 and added it to Oct 2020 eligible pupils.</t>
      </text>
    </comment>
    <comment ref="E132" authorId="8" shapeId="0" xr:uid="{E4807BEC-DD42-6E4C-8B61-11EED134E46D}">
      <text>
        <t>[Threaded comment]
Your version of Excel allows you to read this threaded comment; however, any edits to it will get removed if the file is opened in a newer version of Excel. Learn more: https://go.microsoft.com/fwlink/?linkid=870924
Comment:
    Apportioned special 50:50 and treated PRU as secondary</t>
      </text>
    </comment>
    <comment ref="S138" authorId="9" shapeId="0" xr:uid="{55C1EB5E-A65C-7949-8B3F-167AEEEFAA4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calculated figure - Sutton said £370k</t>
      </text>
    </comment>
  </commentList>
</comments>
</file>

<file path=xl/sharedStrings.xml><?xml version="1.0" encoding="utf-8"?>
<sst xmlns="http://schemas.openxmlformats.org/spreadsheetml/2006/main" count="182" uniqueCount="170">
  <si>
    <t>Barking and Dagenham</t>
  </si>
  <si>
    <t>Barnet</t>
  </si>
  <si>
    <t>Barnsley</t>
  </si>
  <si>
    <t>Bath and North East Somerset</t>
  </si>
  <si>
    <t>Bedford</t>
  </si>
  <si>
    <t>Bexley</t>
  </si>
  <si>
    <t>Birmingham</t>
  </si>
  <si>
    <t>Blackburn with Darwen</t>
  </si>
  <si>
    <t>Blackpool</t>
  </si>
  <si>
    <t>Bolton</t>
  </si>
  <si>
    <t>Bournemouth, Christchurch and Poole Council</t>
  </si>
  <si>
    <t>Bracknell Forest</t>
  </si>
  <si>
    <t>Bradford</t>
  </si>
  <si>
    <t>Brent</t>
  </si>
  <si>
    <t>Brighton and Hove</t>
  </si>
  <si>
    <t>Bristol City of</t>
  </si>
  <si>
    <t>Bromley</t>
  </si>
  <si>
    <t>Buckinghamshire</t>
  </si>
  <si>
    <t>Bury</t>
  </si>
  <si>
    <t>Calderdale</t>
  </si>
  <si>
    <t>Cambridgeshire</t>
  </si>
  <si>
    <t>Camden</t>
  </si>
  <si>
    <t>Central Bedfordshire</t>
  </si>
  <si>
    <t>Cheshire West and Chester</t>
  </si>
  <si>
    <t>City of London</t>
  </si>
  <si>
    <t>Cornwall</t>
  </si>
  <si>
    <t>Coventry</t>
  </si>
  <si>
    <t>Croydon</t>
  </si>
  <si>
    <t>Cumbria</t>
  </si>
  <si>
    <t>Darlington</t>
  </si>
  <si>
    <t>Derby</t>
  </si>
  <si>
    <t>Devon</t>
  </si>
  <si>
    <t>Doncaster</t>
  </si>
  <si>
    <t>Dorset</t>
  </si>
  <si>
    <t>Dudley</t>
  </si>
  <si>
    <t>Durham</t>
  </si>
  <si>
    <t>Ealing</t>
  </si>
  <si>
    <t>East Riding of Yorkshire</t>
  </si>
  <si>
    <t>East Sussex</t>
  </si>
  <si>
    <t>Enfield</t>
  </si>
  <si>
    <t>Essex</t>
  </si>
  <si>
    <t>Gateshead</t>
  </si>
  <si>
    <t>Gloucestershire</t>
  </si>
  <si>
    <t>Greenwich</t>
  </si>
  <si>
    <t>Hackney</t>
  </si>
  <si>
    <t>Halton</t>
  </si>
  <si>
    <t>Hammersmith and Fulham</t>
  </si>
  <si>
    <t>Hampshire</t>
  </si>
  <si>
    <t>Haringey</t>
  </si>
  <si>
    <t>Harrow</t>
  </si>
  <si>
    <t>Hartlepool</t>
  </si>
  <si>
    <t>Havering</t>
  </si>
  <si>
    <t>Herefordshire</t>
  </si>
  <si>
    <t>Hertfordshire</t>
  </si>
  <si>
    <t>Hillingdon</t>
  </si>
  <si>
    <t>Hounslow</t>
  </si>
  <si>
    <t>Isle of Wight</t>
  </si>
  <si>
    <t>Isles Of Scilly</t>
  </si>
  <si>
    <t>Islington</t>
  </si>
  <si>
    <t>Kensington and Chelsea</t>
  </si>
  <si>
    <t>Kent</t>
  </si>
  <si>
    <t>Kingston upon Hull City of</t>
  </si>
  <si>
    <t>Kirklees</t>
  </si>
  <si>
    <t>Knowsley</t>
  </si>
  <si>
    <t>Lambeth</t>
  </si>
  <si>
    <t>Lancashire</t>
  </si>
  <si>
    <t>Leeds</t>
  </si>
  <si>
    <t>Leicester</t>
  </si>
  <si>
    <t>Leicestershire</t>
  </si>
  <si>
    <t>Lewisham</t>
  </si>
  <si>
    <t>Lincolnshire</t>
  </si>
  <si>
    <t>Liverpool</t>
  </si>
  <si>
    <t>Luton</t>
  </si>
  <si>
    <t>Manchester</t>
  </si>
  <si>
    <t>Medway</t>
  </si>
  <si>
    <t>Merton</t>
  </si>
  <si>
    <t>Middlesbrough</t>
  </si>
  <si>
    <t>Milton Keynes</t>
  </si>
  <si>
    <t>Newcastle upon Tyne</t>
  </si>
  <si>
    <t>Newham</t>
  </si>
  <si>
    <t>Northamptonshire</t>
  </si>
  <si>
    <t>North East Lincolnshire</t>
  </si>
  <si>
    <t>North Lincolnshire</t>
  </si>
  <si>
    <t>North Somerset</t>
  </si>
  <si>
    <t>North Tyneside</t>
  </si>
  <si>
    <t>Northumberland</t>
  </si>
  <si>
    <t>North Yorkshire</t>
  </si>
  <si>
    <t>Nottingham</t>
  </si>
  <si>
    <t>Nottinghamshire</t>
  </si>
  <si>
    <t>Oldham</t>
  </si>
  <si>
    <t>Oxfordshire</t>
  </si>
  <si>
    <t>Peterborough</t>
  </si>
  <si>
    <t>Plymouth</t>
  </si>
  <si>
    <t>Portsmouth</t>
  </si>
  <si>
    <t>Reading</t>
  </si>
  <si>
    <t>Redbridge</t>
  </si>
  <si>
    <t>Redcar and Cleveland</t>
  </si>
  <si>
    <t>Rochdale</t>
  </si>
  <si>
    <t>Rotherham</t>
  </si>
  <si>
    <t>Rutland</t>
  </si>
  <si>
    <t>Salford</t>
  </si>
  <si>
    <t>Sandwell</t>
  </si>
  <si>
    <t>Sefton</t>
  </si>
  <si>
    <t>Sheffield</t>
  </si>
  <si>
    <t>Shropshire</t>
  </si>
  <si>
    <t>Slough</t>
  </si>
  <si>
    <t>Solihull</t>
  </si>
  <si>
    <t>Somerset</t>
  </si>
  <si>
    <t>Southampton</t>
  </si>
  <si>
    <t>Southend-on-Sea</t>
  </si>
  <si>
    <t>South Gloucestershire</t>
  </si>
  <si>
    <t>South Tyneside</t>
  </si>
  <si>
    <t>Southwark</t>
  </si>
  <si>
    <t>Staffordshire</t>
  </si>
  <si>
    <t>St. Helens</t>
  </si>
  <si>
    <t>Stockport</t>
  </si>
  <si>
    <t>Stockton-on-Tees</t>
  </si>
  <si>
    <t>Stoke-on-Trent</t>
  </si>
  <si>
    <t>Suffolk</t>
  </si>
  <si>
    <t>Sunderland</t>
  </si>
  <si>
    <t>Surrey</t>
  </si>
  <si>
    <t>Sutton</t>
  </si>
  <si>
    <t>Swindon</t>
  </si>
  <si>
    <t>Tameside</t>
  </si>
  <si>
    <t>Thurrock</t>
  </si>
  <si>
    <t>Torbay</t>
  </si>
  <si>
    <t>Tower Hamlets</t>
  </si>
  <si>
    <t>Trafford</t>
  </si>
  <si>
    <t>Wakefield</t>
  </si>
  <si>
    <t>Walsall</t>
  </si>
  <si>
    <t>Waltham Forest</t>
  </si>
  <si>
    <t>Wandsworth</t>
  </si>
  <si>
    <t>Warwickshire</t>
  </si>
  <si>
    <t>West Berkshire</t>
  </si>
  <si>
    <t>Westminster</t>
  </si>
  <si>
    <t>West Sussex</t>
  </si>
  <si>
    <t>Wigan</t>
  </si>
  <si>
    <t>Wiltshire</t>
  </si>
  <si>
    <t>Windsor and Maidenhead</t>
  </si>
  <si>
    <t>Wirral</t>
  </si>
  <si>
    <t>Wokingham</t>
  </si>
  <si>
    <t>Wolverhampton</t>
  </si>
  <si>
    <t>Worcestershire</t>
  </si>
  <si>
    <t>York</t>
  </si>
  <si>
    <t xml:space="preserve">  England total</t>
  </si>
  <si>
    <t>Primary</t>
  </si>
  <si>
    <t>Secondary</t>
  </si>
  <si>
    <t>Total</t>
  </si>
  <si>
    <t>Extra pupils January 2021</t>
  </si>
  <si>
    <t>Lost Pupil Premium</t>
  </si>
  <si>
    <t>FSM eligibility Oct 2020</t>
  </si>
  <si>
    <t>Estimated FSM eligibility Jan 2021</t>
  </si>
  <si>
    <t>FSM eligibility Jan 2020</t>
  </si>
  <si>
    <t>Average per pupil lost</t>
  </si>
  <si>
    <t>NB overall totals may include AP for which census date won't change (no Oct census).</t>
  </si>
  <si>
    <t>Pri:Sec value ratio</t>
  </si>
  <si>
    <t>Labour party figures but updated for £1250 ave</t>
  </si>
  <si>
    <t>Derbyshire (Labour figs much higher)</t>
  </si>
  <si>
    <t>Discrepancy/insufficient data supplied - assumptions made</t>
  </si>
  <si>
    <t>Warrington (Labour figures lower)</t>
  </si>
  <si>
    <t>Telford and Wrekin (Labour figures much lower)</t>
  </si>
  <si>
    <t>Norfolk (Labour figures much higher)</t>
  </si>
  <si>
    <t>Cheshire East (Labour figs higher)</t>
  </si>
  <si>
    <t>Used £1250 average</t>
  </si>
  <si>
    <t>Summary of responses to Andy Jolley's FOI requests</t>
  </si>
  <si>
    <t>% increase between Oct and Jan</t>
  </si>
  <si>
    <t>Kingston upon Thames (from achieving for children)</t>
  </si>
  <si>
    <t>Richmond upon Thames (from AFC)</t>
  </si>
  <si>
    <t>Total Cost</t>
  </si>
  <si>
    <t xml:space="preserve">Total extra pupils from 114 responses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</si>
</sst>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£&quot;* #,##0_);_(&quot;£&quot;* \(#,##0\);_(&quot;£&quot;* &quot;-&quot;??_);_(@_)"/>
    <numFmt numFmtId="168" formatCode="_(* #,##0.0_);_(* \(#,##0.0\);_(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B8E7"/>
        <bgColor indexed="64"/>
      </patternFill>
    </fill>
    <fill>
      <patternFill patternType="solid">
        <fgColor rgb="FFFFB8D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166" fontId="0" fillId="0" borderId="0" xfId="1" applyNumberFormat="1" applyFont="1"/>
    <xf numFmtId="0" fontId="0" fillId="0" borderId="0" xfId="0" applyAlignment="1">
      <alignment horizontal="center" wrapText="1"/>
    </xf>
    <xf numFmtId="167" fontId="0" fillId="0" borderId="0" xfId="2" applyNumberFormat="1" applyFont="1"/>
    <xf numFmtId="166" fontId="0" fillId="0" borderId="0" xfId="1" applyNumberFormat="1" applyFont="1" applyAlignment="1">
      <alignment horizontal="right"/>
    </xf>
    <xf numFmtId="166" fontId="0" fillId="0" borderId="0" xfId="1" applyNumberFormat="1" applyFont="1" applyAlignment="1">
      <alignment horizontal="center" wrapText="1"/>
    </xf>
    <xf numFmtId="166" fontId="0" fillId="0" borderId="0" xfId="1" applyNumberFormat="1" applyFont="1" applyAlignment="1">
      <alignment horizontal="center" wrapText="1"/>
    </xf>
    <xf numFmtId="167" fontId="0" fillId="0" borderId="0" xfId="2" applyNumberFormat="1" applyFont="1" applyAlignment="1">
      <alignment horizontal="center" wrapText="1"/>
    </xf>
    <xf numFmtId="166" fontId="0" fillId="2" borderId="0" xfId="1" applyNumberFormat="1" applyFont="1" applyFill="1"/>
    <xf numFmtId="167" fontId="0" fillId="0" borderId="0" xfId="2" applyNumberFormat="1" applyFont="1" applyFill="1"/>
    <xf numFmtId="0" fontId="3" fillId="0" borderId="0" xfId="3"/>
    <xf numFmtId="166" fontId="0" fillId="0" borderId="0" xfId="1" quotePrefix="1" applyNumberFormat="1" applyFont="1" applyAlignment="1">
      <alignment horizontal="center" wrapText="1"/>
    </xf>
    <xf numFmtId="166" fontId="0" fillId="0" borderId="0" xfId="1" applyNumberFormat="1" applyFont="1" applyAlignment="1">
      <alignment horizontal="center" wrapText="1"/>
    </xf>
    <xf numFmtId="166" fontId="0" fillId="0" borderId="0" xfId="1" applyNumberFormat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4" applyFont="1"/>
    <xf numFmtId="166" fontId="0" fillId="3" borderId="0" xfId="1" applyNumberFormat="1" applyFont="1" applyFill="1"/>
    <xf numFmtId="166" fontId="0" fillId="4" borderId="0" xfId="1" applyNumberFormat="1" applyFont="1" applyFill="1"/>
    <xf numFmtId="167" fontId="0" fillId="3" borderId="0" xfId="2" applyNumberFormat="1" applyFont="1" applyFill="1"/>
    <xf numFmtId="166" fontId="0" fillId="5" borderId="0" xfId="1" applyNumberFormat="1" applyFont="1" applyFill="1"/>
    <xf numFmtId="9" fontId="0" fillId="0" borderId="0" xfId="0" applyNumberFormat="1"/>
    <xf numFmtId="166" fontId="0" fillId="0" borderId="0" xfId="0" applyNumberFormat="1" applyAlignment="1">
      <alignment horizontal="left"/>
    </xf>
    <xf numFmtId="0" fontId="0" fillId="3" borderId="0" xfId="0" applyFill="1" applyAlignment="1">
      <alignment horizontal="left"/>
    </xf>
    <xf numFmtId="167" fontId="0" fillId="6" borderId="0" xfId="2" applyNumberFormat="1" applyFont="1" applyFill="1" applyAlignment="1">
      <alignment horizontal="left"/>
    </xf>
    <xf numFmtId="167" fontId="0" fillId="6" borderId="0" xfId="2" applyNumberFormat="1" applyFont="1" applyFill="1"/>
    <xf numFmtId="0" fontId="0" fillId="0" borderId="0" xfId="0" applyFill="1"/>
    <xf numFmtId="166" fontId="0" fillId="0" borderId="0" xfId="1" applyNumberFormat="1" applyFont="1" applyFill="1"/>
    <xf numFmtId="0" fontId="0" fillId="7" borderId="0" xfId="0" applyFill="1" applyAlignment="1">
      <alignment horizontal="left"/>
    </xf>
    <xf numFmtId="167" fontId="0" fillId="7" borderId="0" xfId="2" applyNumberFormat="1" applyFont="1" applyFill="1"/>
    <xf numFmtId="3" fontId="0" fillId="7" borderId="0" xfId="0" applyNumberFormat="1" applyFill="1"/>
    <xf numFmtId="166" fontId="0" fillId="7" borderId="0" xfId="1" applyNumberFormat="1" applyFont="1" applyFill="1"/>
    <xf numFmtId="0" fontId="6" fillId="0" borderId="0" xfId="0" applyFont="1"/>
    <xf numFmtId="0" fontId="0" fillId="0" borderId="0" xfId="0" applyAlignment="1">
      <alignment horizontal="center" wrapText="1"/>
    </xf>
    <xf numFmtId="167" fontId="0" fillId="4" borderId="0" xfId="2" applyNumberFormat="1" applyFont="1" applyFill="1"/>
    <xf numFmtId="167" fontId="0" fillId="8" borderId="0" xfId="2" applyNumberFormat="1" applyFont="1" applyFill="1"/>
    <xf numFmtId="166" fontId="0" fillId="8" borderId="0" xfId="1" applyNumberFormat="1" applyFont="1" applyFill="1"/>
    <xf numFmtId="167" fontId="0" fillId="9" borderId="0" xfId="2" applyNumberFormat="1" applyFont="1" applyFill="1"/>
    <xf numFmtId="168" fontId="0" fillId="0" borderId="0" xfId="1" applyNumberFormat="1" applyFont="1"/>
    <xf numFmtId="168" fontId="0" fillId="0" borderId="0" xfId="1" applyNumberFormat="1" applyFont="1" applyAlignment="1">
      <alignment horizontal="center"/>
    </xf>
    <xf numFmtId="168" fontId="0" fillId="0" borderId="0" xfId="1" applyNumberFormat="1" applyFont="1" applyAlignment="1">
      <alignment horizontal="center" wrapText="1"/>
    </xf>
    <xf numFmtId="167" fontId="0" fillId="10" borderId="0" xfId="2" applyNumberFormat="1" applyFont="1" applyFill="1"/>
    <xf numFmtId="168" fontId="0" fillId="3" borderId="0" xfId="1" applyNumberFormat="1" applyFont="1" applyFill="1"/>
    <xf numFmtId="166" fontId="2" fillId="0" borderId="0" xfId="1" applyNumberFormat="1" applyFont="1" applyBorder="1"/>
    <xf numFmtId="166" fontId="0" fillId="0" borderId="1" xfId="1" applyNumberFormat="1" applyFont="1" applyBorder="1"/>
    <xf numFmtId="168" fontId="2" fillId="0" borderId="0" xfId="1" applyNumberFormat="1" applyFont="1" applyBorder="1"/>
    <xf numFmtId="168" fontId="0" fillId="0" borderId="1" xfId="1" applyNumberFormat="1" applyFont="1" applyBorder="1"/>
    <xf numFmtId="167" fontId="2" fillId="0" borderId="0" xfId="2" applyNumberFormat="1" applyFont="1" applyBorder="1"/>
    <xf numFmtId="167" fontId="0" fillId="0" borderId="1" xfId="2" applyNumberFormat="1" applyFont="1" applyBorder="1"/>
    <xf numFmtId="166" fontId="0" fillId="0" borderId="0" xfId="1" applyNumberFormat="1" applyFont="1" applyBorder="1"/>
    <xf numFmtId="168" fontId="0" fillId="0" borderId="0" xfId="1" applyNumberFormat="1" applyFont="1" applyBorder="1"/>
    <xf numFmtId="167" fontId="0" fillId="0" borderId="0" xfId="2" applyNumberFormat="1" applyFont="1" applyBorder="1"/>
    <xf numFmtId="166" fontId="0" fillId="0" borderId="0" xfId="1" applyNumberFormat="1" applyFont="1" applyAlignment="1">
      <alignment wrapText="1"/>
    </xf>
    <xf numFmtId="166" fontId="0" fillId="5" borderId="0" xfId="1" applyNumberFormat="1" applyFont="1" applyFill="1" applyAlignment="1">
      <alignment wrapText="1"/>
    </xf>
    <xf numFmtId="167" fontId="0" fillId="5" borderId="0" xfId="2" applyNumberFormat="1" applyFont="1" applyFill="1"/>
    <xf numFmtId="166" fontId="0" fillId="0" borderId="0" xfId="1" applyNumberFormat="1" applyFont="1" applyAlignment="1">
      <alignment horizontal="center"/>
    </xf>
    <xf numFmtId="167" fontId="0" fillId="0" borderId="0" xfId="2" applyNumberFormat="1" applyFont="1" applyAlignment="1">
      <alignment horizontal="center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3070628B-EBA8-0142-BF9C-82F4AF79BEAE}"/>
    <cellStyle name="Percent" xfId="4" builtinId="5"/>
  </cellStyles>
  <dxfs count="0"/>
  <tableStyles count="0" defaultTableStyle="TableStyleMedium2" defaultPivotStyle="PivotStyleLight16"/>
  <colors>
    <mruColors>
      <color rgb="FFFFB8E7"/>
      <color rgb="FFFFB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ulie Cordiner" id="{70FEC493-1080-D741-A554-7D7B5818FE3C}" userId="584e84482b744ad7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21" dT="2021-04-16T09:38:56.47" personId="{70FEC493-1080-D741-A554-7D7B5818FE3C}" id="{D583F5F8-DB2D-C340-B7D6-A31BF093909F}">
    <text>LA says loss is £763,937 but that wouldn’t work even if all were primary pupils. I’ve used ave value.</text>
  </threadedComment>
  <threadedComment ref="P28" dT="2021-04-15T11:56:39.46" personId="{70FEC493-1080-D741-A554-7D7B5818FE3C}" id="{C0EEA3EF-516B-4642-BD9E-8E5C6E52DA53}">
    <text>Commentary by LA says 416 extra but figures only work out at 345.</text>
  </threadedComment>
  <threadedComment ref="G31" dT="2021-04-17T15:10:04.39" personId="{70FEC493-1080-D741-A554-7D7B5818FE3C}" id="{E9201ADE-A912-8D49-861D-59EBE9FC7D82}">
    <text>Taken from DfE FSM data release Oct 2020 as not provided by LA in FOI response</text>
  </threadedComment>
  <threadedComment ref="E49" dT="2021-04-15T13:55:15.61" personId="{70FEC493-1080-D741-A554-7D7B5818FE3C}" id="{CEC30F2C-EB2E-E148-8858-A15644DB093E}">
    <text>DCC provided by phase not age, with special schools separate so have apportioned them in Jan 2021 figures to fit the amount.</text>
  </threadedComment>
  <threadedComment ref="P50" dT="2021-04-17T15:20:16.49" personId="{70FEC493-1080-D741-A554-7D7B5818FE3C}" id="{586AAD9C-5C3A-BF45-AF84-2DC5A2C74A15}">
    <text>Only the value given by LA. Calculated as 905k/1250=724</text>
  </threadedComment>
  <threadedComment ref="P56" dT="2021-04-15T12:03:51.40" personId="{70FEC493-1080-D741-A554-7D7B5818FE3C}" id="{965A68FF-7D90-FC45-8324-19C0D6EC7241}">
    <text>Calculated difference from total census data Oct 2020 to Jan 2021 is only 724 pupils but LA gives primary/sec breakdown totalling 1098 which has been used. Jan 2021 estimate has therefore been adjusted to match this.</text>
  </threadedComment>
  <threadedComment ref="A80" dT="2021-04-15T12:04:36.12" personId="{70FEC493-1080-D741-A554-7D7B5818FE3C}" id="{A46EA047-19D8-584D-B120-CA4C28487744}">
    <text>Did not answer the question, just said significantly more pupils eligible in January.</text>
  </threadedComment>
  <threadedComment ref="P106" dT="2021-04-15T13:50:42.15" personId="{70FEC493-1080-D741-A554-7D7B5818FE3C}" id="{BFC88F5B-007C-A149-9752-A1AF1BB45ADB}">
    <text>If all primary, OCC says would lose £2m so have divided that by £1345 and added it to Oct 2020 eligible pupils.</text>
  </threadedComment>
  <threadedComment ref="E132" dT="2021-04-16T09:18:27.78" personId="{70FEC493-1080-D741-A554-7D7B5818FE3C}" id="{E4807BEC-DD42-6E4C-8B61-11EED134E46D}">
    <text>Apportioned special 50:50 and treated PRU as secondary</text>
  </threadedComment>
  <threadedComment ref="S138" dT="2021-04-15T15:13:06.39" personId="{70FEC493-1080-D741-A554-7D7B5818FE3C}" id="{55C1EB5E-A65C-7949-8B3F-167AEEEFAA42}">
    <text>This is the calculated figure - Sutton said £370k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4AF3C-79DA-3C48-8CA2-FC36303B3328}">
  <dimension ref="A1:AD171"/>
  <sheetViews>
    <sheetView tabSelected="1" zoomScale="80" zoomScaleNormal="80" workbookViewId="0">
      <pane xSplit="1" ySplit="9" topLeftCell="B76" activePane="bottomRight" state="frozen"/>
      <selection pane="topRight" activeCell="B1" sqref="B1"/>
      <selection pane="bottomLeft" activeCell="A5" sqref="A5"/>
      <selection pane="bottomRight" activeCell="Y15" sqref="Y15"/>
    </sheetView>
  </sheetViews>
  <sheetFormatPr defaultColWidth="11" defaultRowHeight="15.75" x14ac:dyDescent="0.25"/>
  <cols>
    <col min="1" max="1" width="41.375" customWidth="1"/>
    <col min="2" max="2" width="8.5" style="1" bestFit="1" customWidth="1"/>
    <col min="3" max="3" width="10.375" style="1" bestFit="1" customWidth="1"/>
    <col min="4" max="4" width="9.375" style="1" customWidth="1"/>
    <col min="5" max="5" width="9.625" style="1" bestFit="1" customWidth="1"/>
    <col min="6" max="6" width="10.375" style="1" bestFit="1" customWidth="1"/>
    <col min="7" max="7" width="9.625" style="1" bestFit="1" customWidth="1"/>
    <col min="8" max="8" width="4.375" style="1" customWidth="1"/>
    <col min="9" max="9" width="9.625" style="1" bestFit="1" customWidth="1"/>
    <col min="10" max="10" width="10.375" style="1" bestFit="1" customWidth="1"/>
    <col min="11" max="11" width="11.375" style="1" bestFit="1" customWidth="1"/>
    <col min="12" max="12" width="11.375" style="38" customWidth="1"/>
    <col min="13" max="13" width="3.875" style="1" customWidth="1"/>
    <col min="14" max="14" width="8.5" style="1" bestFit="1" customWidth="1"/>
    <col min="15" max="15" width="10.375" style="1" bestFit="1" customWidth="1"/>
    <col min="16" max="16" width="9" style="1" bestFit="1" customWidth="1"/>
    <col min="17" max="17" width="13.625" style="3" customWidth="1"/>
    <col min="18" max="18" width="15.125" style="3" customWidth="1"/>
    <col min="19" max="19" width="14.875" style="3" customWidth="1"/>
    <col min="23" max="25" width="11" style="1" bestFit="1" customWidth="1"/>
    <col min="26" max="26" width="13" style="1" bestFit="1" customWidth="1"/>
    <col min="27" max="27" width="11.5" bestFit="1" customWidth="1"/>
    <col min="29" max="29" width="13.5" style="1" bestFit="1" customWidth="1"/>
  </cols>
  <sheetData>
    <row r="1" spans="1:30" ht="21" x14ac:dyDescent="0.35">
      <c r="A1" s="32" t="s">
        <v>164</v>
      </c>
    </row>
    <row r="2" spans="1:30" x14ac:dyDescent="0.25">
      <c r="A2" s="22" t="s">
        <v>154</v>
      </c>
    </row>
    <row r="3" spans="1:30" x14ac:dyDescent="0.25">
      <c r="A3" s="24" t="s">
        <v>163</v>
      </c>
      <c r="R3" s="1"/>
    </row>
    <row r="4" spans="1:30" x14ac:dyDescent="0.25">
      <c r="A4" s="28" t="s">
        <v>158</v>
      </c>
      <c r="R4" s="1"/>
    </row>
    <row r="5" spans="1:30" x14ac:dyDescent="0.25">
      <c r="A5" s="23" t="s">
        <v>156</v>
      </c>
    </row>
    <row r="6" spans="1:30" x14ac:dyDescent="0.25">
      <c r="P6" s="4"/>
      <c r="Q6" s="4" t="s">
        <v>155</v>
      </c>
      <c r="R6" s="14">
        <f>1345/955</f>
        <v>1.4083769633507854</v>
      </c>
    </row>
    <row r="7" spans="1:30" x14ac:dyDescent="0.25">
      <c r="B7" s="55" t="s">
        <v>152</v>
      </c>
      <c r="C7" s="55"/>
      <c r="D7" s="55"/>
      <c r="E7" s="55" t="s">
        <v>150</v>
      </c>
      <c r="F7" s="55"/>
      <c r="G7" s="55"/>
      <c r="H7" s="13"/>
      <c r="I7" s="55" t="s">
        <v>151</v>
      </c>
      <c r="J7" s="55"/>
      <c r="K7" s="55"/>
      <c r="L7" s="39"/>
      <c r="M7" s="13"/>
      <c r="N7" s="55" t="s">
        <v>148</v>
      </c>
      <c r="O7" s="55"/>
      <c r="P7" s="55"/>
      <c r="Q7" s="56" t="s">
        <v>149</v>
      </c>
      <c r="R7" s="56"/>
      <c r="S7" s="56"/>
    </row>
    <row r="8" spans="1:30" s="2" customFormat="1" ht="15.95" customHeight="1" x14ac:dyDescent="0.25">
      <c r="B8" s="5" t="s">
        <v>145</v>
      </c>
      <c r="C8" s="5" t="s">
        <v>146</v>
      </c>
      <c r="D8" s="5" t="s">
        <v>147</v>
      </c>
      <c r="E8" s="5" t="s">
        <v>145</v>
      </c>
      <c r="F8" s="5" t="s">
        <v>146</v>
      </c>
      <c r="G8" s="5" t="s">
        <v>147</v>
      </c>
      <c r="H8" s="12"/>
      <c r="I8" s="5" t="s">
        <v>145</v>
      </c>
      <c r="J8" s="5" t="s">
        <v>146</v>
      </c>
      <c r="K8" s="5" t="s">
        <v>147</v>
      </c>
      <c r="L8" s="40" t="s">
        <v>165</v>
      </c>
      <c r="M8" s="12"/>
      <c r="N8" s="5" t="s">
        <v>145</v>
      </c>
      <c r="O8" s="5" t="s">
        <v>146</v>
      </c>
      <c r="P8" s="5" t="s">
        <v>147</v>
      </c>
      <c r="Q8" s="7" t="s">
        <v>145</v>
      </c>
      <c r="R8" s="7" t="s">
        <v>146</v>
      </c>
      <c r="S8" s="7" t="s">
        <v>147</v>
      </c>
      <c r="W8" s="55"/>
      <c r="X8" s="55"/>
      <c r="Y8" s="55"/>
      <c r="Z8" s="55"/>
      <c r="AC8" s="6"/>
    </row>
    <row r="9" spans="1:30" s="2" customFormat="1" ht="31.5" x14ac:dyDescent="0.25">
      <c r="B9" s="5"/>
      <c r="C9" s="5"/>
      <c r="D9" s="5"/>
      <c r="E9" s="5"/>
      <c r="G9" s="5"/>
      <c r="H9" s="12"/>
      <c r="J9" s="5"/>
      <c r="K9" s="5"/>
      <c r="L9" s="40"/>
      <c r="M9" s="12"/>
      <c r="N9" s="5"/>
      <c r="O9" s="5"/>
      <c r="P9" s="5"/>
      <c r="Q9" s="7">
        <v>1345</v>
      </c>
      <c r="R9" s="7">
        <v>955</v>
      </c>
      <c r="S9" s="7"/>
      <c r="T9" s="2" t="s">
        <v>153</v>
      </c>
      <c r="V9" s="15"/>
      <c r="W9" s="11"/>
      <c r="X9" s="11"/>
      <c r="Y9" s="5"/>
      <c r="Z9" s="5"/>
      <c r="AC9" s="6"/>
    </row>
    <row r="10" spans="1:30" s="33" customFormat="1" x14ac:dyDescent="0.25">
      <c r="B10" s="12"/>
      <c r="C10" s="12"/>
      <c r="D10" s="12"/>
      <c r="E10" s="12"/>
      <c r="G10" s="12"/>
      <c r="H10" s="12"/>
      <c r="J10" s="12"/>
      <c r="K10" s="12"/>
      <c r="L10" s="40"/>
      <c r="M10" s="12"/>
      <c r="N10" s="12"/>
      <c r="O10" s="12"/>
      <c r="P10" s="12"/>
      <c r="Q10" s="7"/>
      <c r="R10" s="7"/>
      <c r="S10" s="7"/>
      <c r="W10" s="11"/>
      <c r="X10" s="11"/>
      <c r="Y10" s="12"/>
      <c r="Z10" s="12"/>
      <c r="AC10" s="12"/>
    </row>
    <row r="11" spans="1:30" x14ac:dyDescent="0.25">
      <c r="A11" t="s">
        <v>144</v>
      </c>
      <c r="B11" s="43">
        <f t="shared" ref="B11:G11" si="0">SUM(B1:B10)</f>
        <v>0</v>
      </c>
      <c r="C11" s="43">
        <f t="shared" si="0"/>
        <v>0</v>
      </c>
      <c r="D11" s="43">
        <f t="shared" si="0"/>
        <v>0</v>
      </c>
      <c r="E11" s="43">
        <f t="shared" si="0"/>
        <v>0</v>
      </c>
      <c r="F11" s="43">
        <f t="shared" si="0"/>
        <v>0</v>
      </c>
      <c r="G11" s="43">
        <f t="shared" si="0"/>
        <v>0</v>
      </c>
      <c r="H11" s="43"/>
      <c r="I11" s="43">
        <f>SUM(I1:I10)</f>
        <v>0</v>
      </c>
      <c r="J11" s="43">
        <f>SUM(J1:J10)</f>
        <v>0</v>
      </c>
      <c r="K11" s="43">
        <f>SUM(K1:K10)</f>
        <v>0</v>
      </c>
      <c r="L11" s="45"/>
      <c r="M11" s="43"/>
      <c r="N11" s="43">
        <f t="shared" ref="N11:S11" si="1">SUM(N1:N10)</f>
        <v>0</v>
      </c>
      <c r="O11" s="43">
        <f t="shared" si="1"/>
        <v>0</v>
      </c>
      <c r="P11" s="43">
        <f t="shared" si="1"/>
        <v>0</v>
      </c>
      <c r="Q11" s="47">
        <f t="shared" si="1"/>
        <v>1345</v>
      </c>
      <c r="R11" s="47">
        <f t="shared" si="1"/>
        <v>956.40837696335075</v>
      </c>
      <c r="S11" s="47">
        <f t="shared" si="1"/>
        <v>0</v>
      </c>
      <c r="T11" s="47" t="e">
        <f>S11/P11</f>
        <v>#DIV/0!</v>
      </c>
      <c r="U11" s="3"/>
      <c r="V11" s="21"/>
      <c r="Y11" s="27"/>
      <c r="AA11" s="3"/>
      <c r="AB11" s="16"/>
      <c r="AC11" s="16"/>
      <c r="AD11" s="16"/>
    </row>
    <row r="12" spans="1:30" x14ac:dyDescent="0.25">
      <c r="A12" t="s">
        <v>0</v>
      </c>
      <c r="D12" s="1">
        <f>SUM(B12:C12)</f>
        <v>0</v>
      </c>
      <c r="G12" s="1">
        <f>SUM(E12:F12)</f>
        <v>0</v>
      </c>
      <c r="N12" s="1">
        <v>687</v>
      </c>
      <c r="O12" s="1">
        <v>271</v>
      </c>
      <c r="P12" s="1">
        <f>K12-G12</f>
        <v>0</v>
      </c>
      <c r="Q12" s="3">
        <f t="shared" ref="Q12:Q43" si="2">N12*$Q$9</f>
        <v>924015</v>
      </c>
      <c r="R12" s="3">
        <f t="shared" ref="R12:R43" si="3">O12*$R$9</f>
        <v>258805</v>
      </c>
      <c r="S12" s="3">
        <f>SUM(Q12:R12)</f>
        <v>1182820</v>
      </c>
      <c r="T12" s="3" t="e">
        <f t="shared" ref="T12:T43" si="4">IF(S12&gt;0,S12/P12," ")</f>
        <v>#DIV/0!</v>
      </c>
      <c r="U12" s="16"/>
      <c r="V12" s="21"/>
      <c r="AA12" s="3"/>
      <c r="AB12" s="16"/>
      <c r="AD12" s="16"/>
    </row>
    <row r="13" spans="1:30" x14ac:dyDescent="0.25">
      <c r="A13" t="s">
        <v>1</v>
      </c>
      <c r="D13" s="1">
        <v>8693</v>
      </c>
      <c r="G13" s="1">
        <v>9910</v>
      </c>
      <c r="K13" s="1">
        <v>10493</v>
      </c>
      <c r="L13" s="38">
        <f t="shared" ref="L13:L22" si="5">SUM(K13-G13)/G13*100</f>
        <v>5.8829465186680121</v>
      </c>
      <c r="N13" s="1">
        <f t="shared" ref="N13:O20" si="6">I13-E13</f>
        <v>0</v>
      </c>
      <c r="O13" s="1">
        <f t="shared" si="6"/>
        <v>0</v>
      </c>
      <c r="P13" s="1">
        <f>K13-G13</f>
        <v>583</v>
      </c>
      <c r="Q13" s="3">
        <f t="shared" si="2"/>
        <v>0</v>
      </c>
      <c r="R13" s="3">
        <f t="shared" si="3"/>
        <v>0</v>
      </c>
      <c r="S13" s="25">
        <f>P13*1250</f>
        <v>728750</v>
      </c>
      <c r="T13" s="3">
        <f t="shared" si="4"/>
        <v>1250</v>
      </c>
      <c r="U13" s="16"/>
      <c r="V13" s="21"/>
      <c r="AA13" s="3"/>
      <c r="AB13" s="16"/>
      <c r="AD13" s="16"/>
    </row>
    <row r="14" spans="1:30" x14ac:dyDescent="0.25">
      <c r="A14" t="s">
        <v>2</v>
      </c>
      <c r="D14" s="1">
        <f>SUM(B14:C14)</f>
        <v>0</v>
      </c>
      <c r="G14" s="17">
        <v>8950</v>
      </c>
      <c r="K14" s="17">
        <v>9439</v>
      </c>
      <c r="L14" s="38">
        <f t="shared" si="5"/>
        <v>5.4636871508379894</v>
      </c>
      <c r="N14" s="1">
        <f t="shared" si="6"/>
        <v>0</v>
      </c>
      <c r="O14" s="1">
        <f t="shared" si="6"/>
        <v>0</v>
      </c>
      <c r="P14" s="17">
        <f>K14-G14</f>
        <v>489</v>
      </c>
      <c r="Q14" s="3">
        <f t="shared" si="2"/>
        <v>0</v>
      </c>
      <c r="R14" s="3">
        <f t="shared" si="3"/>
        <v>0</v>
      </c>
      <c r="S14" s="19">
        <v>611250</v>
      </c>
      <c r="T14" s="3">
        <f t="shared" si="4"/>
        <v>1250</v>
      </c>
      <c r="U14" s="16"/>
      <c r="V14" s="21"/>
      <c r="AA14" s="3"/>
      <c r="AB14" s="16"/>
      <c r="AD14" s="16"/>
    </row>
    <row r="15" spans="1:30" x14ac:dyDescent="0.25">
      <c r="A15" t="s">
        <v>3</v>
      </c>
      <c r="D15" s="1">
        <f>SUM(B15:C15)</f>
        <v>0</v>
      </c>
      <c r="G15" s="17">
        <v>3991</v>
      </c>
      <c r="K15" s="17">
        <v>3991</v>
      </c>
      <c r="L15" s="38">
        <f t="shared" si="5"/>
        <v>0</v>
      </c>
      <c r="N15" s="1">
        <f t="shared" si="6"/>
        <v>0</v>
      </c>
      <c r="O15" s="1">
        <f t="shared" si="6"/>
        <v>0</v>
      </c>
      <c r="P15" s="17">
        <f>K15-G15</f>
        <v>0</v>
      </c>
      <c r="Q15" s="3">
        <f t="shared" si="2"/>
        <v>0</v>
      </c>
      <c r="R15" s="3">
        <f t="shared" si="3"/>
        <v>0</v>
      </c>
      <c r="S15" s="19">
        <v>0</v>
      </c>
      <c r="T15" s="3" t="str">
        <f t="shared" si="4"/>
        <v xml:space="preserve"> </v>
      </c>
      <c r="U15" s="16"/>
      <c r="V15" s="21"/>
      <c r="AA15" s="3"/>
      <c r="AB15" s="16"/>
      <c r="AD15" s="16"/>
    </row>
    <row r="16" spans="1:30" x14ac:dyDescent="0.25">
      <c r="A16" t="s">
        <v>4</v>
      </c>
      <c r="D16" s="1">
        <f>SUM(B16:C16)</f>
        <v>0</v>
      </c>
      <c r="G16" s="17">
        <v>5069</v>
      </c>
      <c r="K16" s="17">
        <v>4977</v>
      </c>
      <c r="L16" s="42">
        <f t="shared" si="5"/>
        <v>-1.8149536397711579</v>
      </c>
      <c r="N16" s="1">
        <f t="shared" si="6"/>
        <v>0</v>
      </c>
      <c r="O16" s="1">
        <f t="shared" si="6"/>
        <v>0</v>
      </c>
      <c r="P16" s="17">
        <f>K16-G16</f>
        <v>-92</v>
      </c>
      <c r="Q16" s="3">
        <f t="shared" si="2"/>
        <v>0</v>
      </c>
      <c r="R16" s="3">
        <f t="shared" si="3"/>
        <v>0</v>
      </c>
      <c r="S16" s="19">
        <f>SUM(Q16:R16)</f>
        <v>0</v>
      </c>
      <c r="T16" s="3" t="str">
        <f t="shared" si="4"/>
        <v xml:space="preserve"> </v>
      </c>
      <c r="U16" s="16"/>
      <c r="V16" s="21"/>
      <c r="AA16" s="3"/>
      <c r="AB16" s="16"/>
      <c r="AD16" s="16"/>
    </row>
    <row r="17" spans="1:30" x14ac:dyDescent="0.25">
      <c r="A17" t="s">
        <v>5</v>
      </c>
      <c r="D17" s="1">
        <f>SUM(B17:C17)</f>
        <v>0</v>
      </c>
      <c r="G17" s="17">
        <v>6640</v>
      </c>
      <c r="K17" s="17">
        <v>7121</v>
      </c>
      <c r="L17" s="38">
        <f t="shared" si="5"/>
        <v>7.2439759036144578</v>
      </c>
      <c r="N17" s="1">
        <f t="shared" si="6"/>
        <v>0</v>
      </c>
      <c r="O17" s="1">
        <f t="shared" si="6"/>
        <v>0</v>
      </c>
      <c r="P17" s="17">
        <v>481</v>
      </c>
      <c r="Q17" s="3">
        <f t="shared" si="2"/>
        <v>0</v>
      </c>
      <c r="R17" s="3">
        <f t="shared" si="3"/>
        <v>0</v>
      </c>
      <c r="S17" s="19">
        <f>P17*1250</f>
        <v>601250</v>
      </c>
      <c r="T17" s="3">
        <f t="shared" si="4"/>
        <v>1250</v>
      </c>
      <c r="U17" s="16"/>
      <c r="V17" s="21"/>
      <c r="AA17" s="3"/>
      <c r="AB17" s="16"/>
      <c r="AD17" s="16"/>
    </row>
    <row r="18" spans="1:30" x14ac:dyDescent="0.25">
      <c r="A18" t="s">
        <v>6</v>
      </c>
      <c r="D18" s="1">
        <v>60064</v>
      </c>
      <c r="G18" s="1">
        <v>66811</v>
      </c>
      <c r="K18" s="1">
        <v>69840</v>
      </c>
      <c r="L18" s="38">
        <f t="shared" si="5"/>
        <v>4.5336845728996726</v>
      </c>
      <c r="N18" s="1">
        <f t="shared" si="6"/>
        <v>0</v>
      </c>
      <c r="O18" s="1">
        <f t="shared" si="6"/>
        <v>0</v>
      </c>
      <c r="P18" s="1">
        <f>K18-G18</f>
        <v>3029</v>
      </c>
      <c r="Q18" s="3">
        <f t="shared" si="2"/>
        <v>0</v>
      </c>
      <c r="R18" s="3">
        <f t="shared" si="3"/>
        <v>0</v>
      </c>
      <c r="S18" s="25">
        <f>P18*1250</f>
        <v>3786250</v>
      </c>
      <c r="T18" s="3">
        <f t="shared" si="4"/>
        <v>1250</v>
      </c>
      <c r="U18" s="16"/>
      <c r="V18" s="21"/>
      <c r="AA18" s="3"/>
      <c r="AB18" s="16"/>
      <c r="AD18" s="16"/>
    </row>
    <row r="19" spans="1:30" x14ac:dyDescent="0.25">
      <c r="A19" t="s">
        <v>7</v>
      </c>
      <c r="D19" s="1">
        <f>SUM(B19:C19)</f>
        <v>0</v>
      </c>
      <c r="G19" s="17">
        <v>5946</v>
      </c>
      <c r="K19" s="17">
        <v>6198</v>
      </c>
      <c r="L19" s="38">
        <f t="shared" si="5"/>
        <v>4.2381432896064579</v>
      </c>
      <c r="N19" s="1">
        <f t="shared" si="6"/>
        <v>0</v>
      </c>
      <c r="O19" s="1">
        <f t="shared" si="6"/>
        <v>0</v>
      </c>
      <c r="P19" s="17">
        <f>K19-G19</f>
        <v>252</v>
      </c>
      <c r="Q19" s="3">
        <f t="shared" si="2"/>
        <v>0</v>
      </c>
      <c r="R19" s="3">
        <f t="shared" si="3"/>
        <v>0</v>
      </c>
      <c r="S19" s="19">
        <v>315000</v>
      </c>
      <c r="T19" s="3">
        <f t="shared" si="4"/>
        <v>1250</v>
      </c>
      <c r="U19" s="16"/>
      <c r="V19" s="21"/>
      <c r="AA19" s="3"/>
      <c r="AB19" s="16"/>
      <c r="AD19" s="16"/>
    </row>
    <row r="20" spans="1:30" x14ac:dyDescent="0.25">
      <c r="A20" t="s">
        <v>8</v>
      </c>
      <c r="D20" s="1">
        <f>SUM(B20:C20)</f>
        <v>0</v>
      </c>
      <c r="G20" s="17">
        <v>7132</v>
      </c>
      <c r="K20" s="17">
        <v>7502</v>
      </c>
      <c r="L20" s="38">
        <f t="shared" si="5"/>
        <v>5.1878855860908581</v>
      </c>
      <c r="N20" s="1">
        <f t="shared" si="6"/>
        <v>0</v>
      </c>
      <c r="O20" s="1">
        <f t="shared" si="6"/>
        <v>0</v>
      </c>
      <c r="P20" s="17">
        <v>370</v>
      </c>
      <c r="Q20" s="3">
        <f t="shared" si="2"/>
        <v>0</v>
      </c>
      <c r="R20" s="3">
        <f t="shared" si="3"/>
        <v>0</v>
      </c>
      <c r="S20" s="19">
        <f>P20*1250</f>
        <v>462500</v>
      </c>
      <c r="T20" s="3">
        <f t="shared" si="4"/>
        <v>1250</v>
      </c>
      <c r="U20" s="16"/>
      <c r="V20" s="21"/>
      <c r="AA20" s="3"/>
      <c r="AB20" s="16"/>
      <c r="AD20" s="16"/>
    </row>
    <row r="21" spans="1:30" x14ac:dyDescent="0.25">
      <c r="A21" t="s">
        <v>9</v>
      </c>
      <c r="D21" s="1">
        <v>10536</v>
      </c>
      <c r="G21" s="1">
        <v>11900</v>
      </c>
      <c r="K21" s="1">
        <v>12442</v>
      </c>
      <c r="L21" s="38">
        <f t="shared" si="5"/>
        <v>4.5546218487394956</v>
      </c>
      <c r="O21" s="1">
        <v>0</v>
      </c>
      <c r="P21" s="1">
        <f t="shared" ref="P21:P26" si="7">K21-G21</f>
        <v>542</v>
      </c>
      <c r="Q21" s="3">
        <f t="shared" si="2"/>
        <v>0</v>
      </c>
      <c r="R21" s="3">
        <f t="shared" si="3"/>
        <v>0</v>
      </c>
      <c r="S21" s="25">
        <f>P21*1250</f>
        <v>677500</v>
      </c>
      <c r="T21" s="3">
        <f t="shared" si="4"/>
        <v>1250</v>
      </c>
      <c r="U21" s="16"/>
      <c r="V21" s="21"/>
      <c r="AA21" s="3"/>
      <c r="AB21" s="16"/>
      <c r="AD21" s="16"/>
    </row>
    <row r="22" spans="1:30" x14ac:dyDescent="0.25">
      <c r="A22" t="s">
        <v>10</v>
      </c>
      <c r="D22" s="1">
        <v>7080</v>
      </c>
      <c r="G22" s="1">
        <v>8285</v>
      </c>
      <c r="K22" s="1">
        <v>8753</v>
      </c>
      <c r="L22" s="38">
        <f t="shared" si="5"/>
        <v>5.6487628243814116</v>
      </c>
      <c r="N22" s="1">
        <f t="shared" ref="N22:N49" si="8">I22-E22</f>
        <v>0</v>
      </c>
      <c r="O22" s="1">
        <f t="shared" ref="O22:O49" si="9">J22-F22</f>
        <v>0</v>
      </c>
      <c r="P22" s="1">
        <f t="shared" si="7"/>
        <v>468</v>
      </c>
      <c r="Q22" s="3">
        <f t="shared" si="2"/>
        <v>0</v>
      </c>
      <c r="R22" s="3">
        <f t="shared" si="3"/>
        <v>0</v>
      </c>
      <c r="S22" s="25">
        <f>P22*1250</f>
        <v>585000</v>
      </c>
      <c r="T22" s="3">
        <f t="shared" si="4"/>
        <v>1250</v>
      </c>
      <c r="U22" s="16"/>
      <c r="V22" s="21"/>
      <c r="AA22" s="3"/>
      <c r="AB22" s="16"/>
      <c r="AD22" s="16"/>
    </row>
    <row r="23" spans="1:30" x14ac:dyDescent="0.25">
      <c r="A23" t="s">
        <v>11</v>
      </c>
      <c r="D23" s="1">
        <f>SUM(B23:C23)</f>
        <v>0</v>
      </c>
      <c r="G23" s="1">
        <f>SUM(E23:F23)</f>
        <v>0</v>
      </c>
      <c r="K23" s="1">
        <f>SUM(I23:J23)</f>
        <v>0</v>
      </c>
      <c r="N23" s="1">
        <f t="shared" si="8"/>
        <v>0</v>
      </c>
      <c r="O23" s="1">
        <f t="shared" si="9"/>
        <v>0</v>
      </c>
      <c r="P23" s="1">
        <f t="shared" si="7"/>
        <v>0</v>
      </c>
      <c r="Q23" s="3">
        <f t="shared" si="2"/>
        <v>0</v>
      </c>
      <c r="R23" s="3">
        <f t="shared" si="3"/>
        <v>0</v>
      </c>
      <c r="S23" s="3">
        <f>SUM(Q23:R23)</f>
        <v>0</v>
      </c>
      <c r="T23" s="3" t="str">
        <f t="shared" si="4"/>
        <v xml:space="preserve"> </v>
      </c>
      <c r="U23" s="16"/>
      <c r="V23" s="21"/>
      <c r="AA23" s="3"/>
      <c r="AB23" s="16"/>
      <c r="AD23" s="16"/>
    </row>
    <row r="24" spans="1:30" x14ac:dyDescent="0.25">
      <c r="A24" t="s">
        <v>12</v>
      </c>
      <c r="D24" s="1">
        <f>SUM(B24:C24)</f>
        <v>0</v>
      </c>
      <c r="G24" s="1">
        <f>SUM(E24:F24)</f>
        <v>0</v>
      </c>
      <c r="K24" s="1">
        <f>SUM(I24:J24)</f>
        <v>0</v>
      </c>
      <c r="N24" s="1">
        <f t="shared" si="8"/>
        <v>0</v>
      </c>
      <c r="O24" s="1">
        <f t="shared" si="9"/>
        <v>0</v>
      </c>
      <c r="P24" s="1">
        <f t="shared" si="7"/>
        <v>0</v>
      </c>
      <c r="Q24" s="3">
        <f t="shared" si="2"/>
        <v>0</v>
      </c>
      <c r="R24" s="3">
        <f t="shared" si="3"/>
        <v>0</v>
      </c>
      <c r="S24" s="3">
        <f>SUM(Q24:R24)</f>
        <v>0</v>
      </c>
      <c r="T24" s="3" t="str">
        <f t="shared" si="4"/>
        <v xml:space="preserve"> </v>
      </c>
      <c r="U24" s="16"/>
      <c r="V24" s="21"/>
      <c r="AA24" s="3"/>
      <c r="AB24" s="16"/>
      <c r="AD24" s="16"/>
    </row>
    <row r="25" spans="1:30" x14ac:dyDescent="0.25">
      <c r="A25" t="s">
        <v>13</v>
      </c>
      <c r="D25" s="1">
        <v>6519</v>
      </c>
      <c r="G25" s="1">
        <v>7184</v>
      </c>
      <c r="K25" s="1">
        <v>8219</v>
      </c>
      <c r="L25" s="38">
        <f>SUM(K25-G25)/G25*100</f>
        <v>14.407015590200444</v>
      </c>
      <c r="N25" s="1">
        <f t="shared" si="8"/>
        <v>0</v>
      </c>
      <c r="O25" s="1">
        <f t="shared" si="9"/>
        <v>0</v>
      </c>
      <c r="P25" s="1">
        <f t="shared" si="7"/>
        <v>1035</v>
      </c>
      <c r="Q25" s="3">
        <f t="shared" si="2"/>
        <v>0</v>
      </c>
      <c r="R25" s="3">
        <f t="shared" si="3"/>
        <v>0</v>
      </c>
      <c r="S25" s="25">
        <f>P25*1250</f>
        <v>1293750</v>
      </c>
      <c r="T25" s="3">
        <f t="shared" si="4"/>
        <v>1250</v>
      </c>
      <c r="U25" s="16"/>
      <c r="V25" s="21"/>
      <c r="AA25" s="3"/>
      <c r="AB25" s="16"/>
      <c r="AD25" s="16"/>
    </row>
    <row r="26" spans="1:30" x14ac:dyDescent="0.25">
      <c r="A26" t="s">
        <v>14</v>
      </c>
      <c r="D26" s="1">
        <f>SUM(B26:C26)</f>
        <v>0</v>
      </c>
      <c r="G26" s="1">
        <f>SUM(E26:F26)</f>
        <v>0</v>
      </c>
      <c r="K26" s="1">
        <f>SUM(I26:J26)</f>
        <v>0</v>
      </c>
      <c r="N26" s="1">
        <f t="shared" si="8"/>
        <v>0</v>
      </c>
      <c r="O26" s="1">
        <f t="shared" si="9"/>
        <v>0</v>
      </c>
      <c r="P26" s="1">
        <f t="shared" si="7"/>
        <v>0</v>
      </c>
      <c r="Q26" s="3">
        <f t="shared" si="2"/>
        <v>0</v>
      </c>
      <c r="R26" s="3">
        <f t="shared" si="3"/>
        <v>0</v>
      </c>
      <c r="S26" s="3">
        <f>SUM(Q26:R26)</f>
        <v>0</v>
      </c>
      <c r="T26" s="3" t="str">
        <f t="shared" si="4"/>
        <v xml:space="preserve"> </v>
      </c>
      <c r="U26" s="16"/>
      <c r="V26" s="21"/>
      <c r="AA26" s="3"/>
      <c r="AB26" s="16"/>
      <c r="AD26" s="16"/>
    </row>
    <row r="27" spans="1:30" x14ac:dyDescent="0.25">
      <c r="A27" t="s">
        <v>15</v>
      </c>
      <c r="D27" s="1">
        <f>SUM(B27:C27)</f>
        <v>0</v>
      </c>
      <c r="G27" s="17">
        <v>15604</v>
      </c>
      <c r="K27" s="17">
        <v>16961</v>
      </c>
      <c r="L27" s="38">
        <f t="shared" ref="L27:L33" si="10">SUM(K27-G27)/G27*100</f>
        <v>8.6964880799794919</v>
      </c>
      <c r="N27" s="1">
        <f t="shared" si="8"/>
        <v>0</v>
      </c>
      <c r="O27" s="1">
        <f t="shared" si="9"/>
        <v>0</v>
      </c>
      <c r="P27" s="17">
        <v>1357</v>
      </c>
      <c r="Q27" s="3">
        <f t="shared" si="2"/>
        <v>0</v>
      </c>
      <c r="R27" s="3">
        <f t="shared" si="3"/>
        <v>0</v>
      </c>
      <c r="S27" s="19">
        <f>P27*1250</f>
        <v>1696250</v>
      </c>
      <c r="T27" s="3">
        <f t="shared" si="4"/>
        <v>1250</v>
      </c>
      <c r="U27" s="16"/>
      <c r="V27" s="21"/>
      <c r="AA27" s="3"/>
      <c r="AB27" s="16"/>
      <c r="AD27" s="16"/>
    </row>
    <row r="28" spans="1:30" x14ac:dyDescent="0.25">
      <c r="A28" t="s">
        <v>16</v>
      </c>
      <c r="D28" s="1">
        <v>5896</v>
      </c>
      <c r="G28" s="1">
        <v>6823</v>
      </c>
      <c r="K28" s="1">
        <v>7168</v>
      </c>
      <c r="L28" s="38">
        <f t="shared" si="10"/>
        <v>5.0564267917338412</v>
      </c>
      <c r="N28" s="1">
        <f t="shared" si="8"/>
        <v>0</v>
      </c>
      <c r="O28" s="1">
        <f t="shared" si="9"/>
        <v>0</v>
      </c>
      <c r="P28" s="1">
        <f>K28-G28</f>
        <v>345</v>
      </c>
      <c r="Q28" s="3">
        <f t="shared" si="2"/>
        <v>0</v>
      </c>
      <c r="R28" s="3">
        <f t="shared" si="3"/>
        <v>0</v>
      </c>
      <c r="S28" s="25">
        <f>P28*1250</f>
        <v>431250</v>
      </c>
      <c r="T28" s="3">
        <f t="shared" si="4"/>
        <v>1250</v>
      </c>
      <c r="U28" s="16"/>
      <c r="V28" s="21"/>
      <c r="AA28" s="3"/>
      <c r="AB28" s="16"/>
      <c r="AD28" s="16"/>
    </row>
    <row r="29" spans="1:30" x14ac:dyDescent="0.25">
      <c r="A29" t="s">
        <v>17</v>
      </c>
      <c r="G29" s="1">
        <v>7808</v>
      </c>
      <c r="K29" s="1">
        <v>8387</v>
      </c>
      <c r="L29" s="38">
        <f t="shared" si="10"/>
        <v>7.4154713114754092</v>
      </c>
      <c r="N29" s="1">
        <f t="shared" si="8"/>
        <v>0</v>
      </c>
      <c r="O29" s="1">
        <f t="shared" si="9"/>
        <v>0</v>
      </c>
      <c r="P29" s="1">
        <f>K29-G29</f>
        <v>579</v>
      </c>
      <c r="Q29" s="3">
        <f t="shared" si="2"/>
        <v>0</v>
      </c>
      <c r="R29" s="3">
        <f t="shared" si="3"/>
        <v>0</v>
      </c>
      <c r="S29" s="35">
        <v>720645</v>
      </c>
      <c r="T29" s="3">
        <f t="shared" si="4"/>
        <v>1244.6373056994819</v>
      </c>
      <c r="U29" s="16"/>
      <c r="V29" s="21"/>
      <c r="AA29" s="3"/>
      <c r="AB29" s="16"/>
      <c r="AD29" s="16"/>
    </row>
    <row r="30" spans="1:30" x14ac:dyDescent="0.25">
      <c r="A30" t="s">
        <v>18</v>
      </c>
      <c r="B30" s="1">
        <v>3194</v>
      </c>
      <c r="C30" s="1">
        <v>2106</v>
      </c>
      <c r="D30" s="1">
        <f>SUM(B30:C30)</f>
        <v>5300</v>
      </c>
      <c r="E30" s="1">
        <v>3518</v>
      </c>
      <c r="F30" s="1">
        <v>2358</v>
      </c>
      <c r="G30" s="1">
        <f>SUM(E30:F30)</f>
        <v>5876</v>
      </c>
      <c r="I30" s="1">
        <v>3755</v>
      </c>
      <c r="J30" s="1">
        <v>2412</v>
      </c>
      <c r="K30" s="1">
        <f>SUM(I30:J30)</f>
        <v>6167</v>
      </c>
      <c r="L30" s="38">
        <f t="shared" si="10"/>
        <v>4.9523485364193327</v>
      </c>
      <c r="N30" s="1">
        <f t="shared" si="8"/>
        <v>237</v>
      </c>
      <c r="O30" s="1">
        <f t="shared" si="9"/>
        <v>54</v>
      </c>
      <c r="P30" s="1">
        <f>K30-G30</f>
        <v>291</v>
      </c>
      <c r="Q30" s="3">
        <f t="shared" si="2"/>
        <v>318765</v>
      </c>
      <c r="R30" s="3">
        <f t="shared" si="3"/>
        <v>51570</v>
      </c>
      <c r="S30" s="3">
        <f>SUM(Q30:R30)</f>
        <v>370335</v>
      </c>
      <c r="T30" s="3">
        <f t="shared" si="4"/>
        <v>1272.6288659793815</v>
      </c>
      <c r="U30" s="16"/>
      <c r="V30" s="21"/>
      <c r="AA30" s="3"/>
      <c r="AB30" s="16"/>
      <c r="AD30" s="16"/>
    </row>
    <row r="31" spans="1:30" x14ac:dyDescent="0.25">
      <c r="A31" t="s">
        <v>19</v>
      </c>
      <c r="D31" s="1">
        <f>SUM(B31:C31)</f>
        <v>0</v>
      </c>
      <c r="G31" s="8">
        <v>7636</v>
      </c>
      <c r="K31" s="1">
        <f>7636+400</f>
        <v>8036</v>
      </c>
      <c r="L31" s="38">
        <f t="shared" si="10"/>
        <v>5.2383446830801468</v>
      </c>
      <c r="N31" s="1">
        <f t="shared" si="8"/>
        <v>0</v>
      </c>
      <c r="O31" s="1">
        <f t="shared" si="9"/>
        <v>0</v>
      </c>
      <c r="P31" s="1">
        <v>400</v>
      </c>
      <c r="Q31" s="3">
        <f t="shared" si="2"/>
        <v>0</v>
      </c>
      <c r="R31" s="3">
        <f t="shared" si="3"/>
        <v>0</v>
      </c>
      <c r="S31" s="3">
        <v>540000</v>
      </c>
      <c r="T31" s="3">
        <f t="shared" si="4"/>
        <v>1350</v>
      </c>
      <c r="U31" s="16"/>
      <c r="V31" s="21"/>
      <c r="AA31" s="3"/>
      <c r="AB31" s="16"/>
      <c r="AD31" s="16"/>
    </row>
    <row r="32" spans="1:30" x14ac:dyDescent="0.25">
      <c r="A32" t="s">
        <v>20</v>
      </c>
      <c r="B32" s="1">
        <v>7905</v>
      </c>
      <c r="C32" s="1">
        <v>4002</v>
      </c>
      <c r="D32" s="1">
        <f>SUM(B32:C32)</f>
        <v>11907</v>
      </c>
      <c r="E32" s="1">
        <v>9435</v>
      </c>
      <c r="F32" s="1">
        <v>5002</v>
      </c>
      <c r="G32" s="1">
        <f>SUM(E32:F32)</f>
        <v>14437</v>
      </c>
      <c r="I32" s="1">
        <v>10182</v>
      </c>
      <c r="J32" s="1">
        <v>5245</v>
      </c>
      <c r="K32" s="1">
        <f>SUM(I32:J32)</f>
        <v>15427</v>
      </c>
      <c r="L32" s="38">
        <f t="shared" si="10"/>
        <v>6.8573803421763531</v>
      </c>
      <c r="N32" s="1">
        <f t="shared" si="8"/>
        <v>747</v>
      </c>
      <c r="O32" s="1">
        <f t="shared" si="9"/>
        <v>243</v>
      </c>
      <c r="P32" s="1">
        <f>K32-G32</f>
        <v>990</v>
      </c>
      <c r="Q32" s="3">
        <f t="shared" si="2"/>
        <v>1004715</v>
      </c>
      <c r="R32" s="3">
        <f t="shared" si="3"/>
        <v>232065</v>
      </c>
      <c r="S32" s="3">
        <f>SUM(Q32:R32)</f>
        <v>1236780</v>
      </c>
      <c r="T32" s="3">
        <f t="shared" si="4"/>
        <v>1249.2727272727273</v>
      </c>
      <c r="U32" s="16"/>
      <c r="V32" s="21"/>
      <c r="AA32" s="3"/>
      <c r="AB32" s="16"/>
      <c r="AD32" s="16"/>
    </row>
    <row r="33" spans="1:30" x14ac:dyDescent="0.25">
      <c r="A33" t="s">
        <v>21</v>
      </c>
      <c r="B33" s="1">
        <v>3366</v>
      </c>
      <c r="C33" s="1">
        <f>2779+555</f>
        <v>3334</v>
      </c>
      <c r="D33" s="1">
        <f>SUM(B33:C33)</f>
        <v>6700</v>
      </c>
      <c r="E33" s="1">
        <v>3619</v>
      </c>
      <c r="F33" s="1">
        <f>3036+668</f>
        <v>3704</v>
      </c>
      <c r="G33" s="1">
        <f>SUM(E33:F33)</f>
        <v>7323</v>
      </c>
      <c r="I33" s="1">
        <v>3810</v>
      </c>
      <c r="J33" s="1">
        <f>3148+695</f>
        <v>3843</v>
      </c>
      <c r="K33" s="1">
        <f>SUM(I33:J33)</f>
        <v>7653</v>
      </c>
      <c r="L33" s="38">
        <f t="shared" si="10"/>
        <v>4.5063498566161408</v>
      </c>
      <c r="N33" s="1">
        <f t="shared" si="8"/>
        <v>191</v>
      </c>
      <c r="O33" s="1">
        <f t="shared" si="9"/>
        <v>139</v>
      </c>
      <c r="P33" s="1">
        <f>K33-G33</f>
        <v>330</v>
      </c>
      <c r="Q33" s="3">
        <f t="shared" si="2"/>
        <v>256895</v>
      </c>
      <c r="R33" s="3">
        <f t="shared" si="3"/>
        <v>132745</v>
      </c>
      <c r="S33" s="3">
        <f>SUM(Q33:R33)</f>
        <v>389640</v>
      </c>
      <c r="T33" s="3">
        <f t="shared" si="4"/>
        <v>1180.7272727272727</v>
      </c>
      <c r="U33" s="16"/>
      <c r="V33" s="21"/>
      <c r="AA33" s="3"/>
      <c r="AB33" s="16"/>
      <c r="AD33" s="16"/>
    </row>
    <row r="34" spans="1:30" x14ac:dyDescent="0.25">
      <c r="A34" t="s">
        <v>22</v>
      </c>
      <c r="D34" s="1">
        <f>SUM(B34:C34)</f>
        <v>0</v>
      </c>
      <c r="G34" s="1">
        <f>SUM(E34:F34)</f>
        <v>0</v>
      </c>
      <c r="K34" s="1">
        <f>SUM(I34:J34)</f>
        <v>0</v>
      </c>
      <c r="N34" s="1">
        <f t="shared" si="8"/>
        <v>0</v>
      </c>
      <c r="O34" s="1">
        <f t="shared" si="9"/>
        <v>0</v>
      </c>
      <c r="P34" s="1">
        <f>K34-G34</f>
        <v>0</v>
      </c>
      <c r="Q34" s="3">
        <f t="shared" si="2"/>
        <v>0</v>
      </c>
      <c r="R34" s="3">
        <f t="shared" si="3"/>
        <v>0</v>
      </c>
      <c r="S34" s="3">
        <f>SUM(Q34:R34)</f>
        <v>0</v>
      </c>
      <c r="T34" s="3" t="str">
        <f t="shared" si="4"/>
        <v xml:space="preserve"> </v>
      </c>
      <c r="U34" s="16"/>
      <c r="V34" s="21"/>
      <c r="Y34" s="20"/>
      <c r="AA34" s="3"/>
      <c r="AB34" s="16"/>
      <c r="AD34" s="16"/>
    </row>
    <row r="35" spans="1:30" x14ac:dyDescent="0.25">
      <c r="A35" t="s">
        <v>162</v>
      </c>
      <c r="D35" s="1">
        <v>5929</v>
      </c>
      <c r="G35" s="1">
        <v>6955</v>
      </c>
      <c r="K35" s="1">
        <v>7052</v>
      </c>
      <c r="L35" s="38">
        <f t="shared" ref="L35:L44" si="11">SUM(K35-G35)/G35*100</f>
        <v>1.3946800862688713</v>
      </c>
      <c r="N35" s="1">
        <f t="shared" si="8"/>
        <v>0</v>
      </c>
      <c r="O35" s="1">
        <f t="shared" si="9"/>
        <v>0</v>
      </c>
      <c r="P35" s="1">
        <f>K35-G35</f>
        <v>97</v>
      </c>
      <c r="Q35" s="3">
        <f t="shared" si="2"/>
        <v>0</v>
      </c>
      <c r="R35" s="3">
        <f t="shared" si="3"/>
        <v>0</v>
      </c>
      <c r="S35" s="25">
        <f>P35*1250</f>
        <v>121250</v>
      </c>
      <c r="T35" s="3">
        <f t="shared" si="4"/>
        <v>1250</v>
      </c>
      <c r="U35" s="16"/>
      <c r="V35" s="21"/>
      <c r="AA35" s="3"/>
      <c r="AB35" s="16"/>
      <c r="AD35" s="16"/>
    </row>
    <row r="36" spans="1:30" x14ac:dyDescent="0.25">
      <c r="A36" t="s">
        <v>23</v>
      </c>
      <c r="D36" s="1">
        <f>SUM(B36:C36)</f>
        <v>0</v>
      </c>
      <c r="G36" s="17">
        <v>8215</v>
      </c>
      <c r="K36" s="17">
        <v>9299</v>
      </c>
      <c r="L36" s="38">
        <f t="shared" si="11"/>
        <v>13.195374315276934</v>
      </c>
      <c r="N36" s="1">
        <f t="shared" si="8"/>
        <v>0</v>
      </c>
      <c r="O36" s="1">
        <f t="shared" si="9"/>
        <v>0</v>
      </c>
      <c r="P36" s="17">
        <v>1084</v>
      </c>
      <c r="Q36" s="3">
        <f t="shared" si="2"/>
        <v>0</v>
      </c>
      <c r="R36" s="3">
        <f t="shared" si="3"/>
        <v>0</v>
      </c>
      <c r="S36" s="19">
        <f>P36*1250</f>
        <v>1355000</v>
      </c>
      <c r="T36" s="3">
        <f t="shared" si="4"/>
        <v>1250</v>
      </c>
      <c r="U36" s="16"/>
      <c r="V36" s="21"/>
      <c r="AA36" s="3"/>
      <c r="AB36" s="16"/>
      <c r="AD36" s="16"/>
    </row>
    <row r="37" spans="1:30" x14ac:dyDescent="0.25">
      <c r="A37" t="s">
        <v>24</v>
      </c>
      <c r="D37" s="1">
        <f>SUM(B37:C37)</f>
        <v>0</v>
      </c>
      <c r="G37" s="17">
        <v>36</v>
      </c>
      <c r="K37" s="17">
        <v>43</v>
      </c>
      <c r="L37" s="38">
        <f t="shared" si="11"/>
        <v>19.444444444444446</v>
      </c>
      <c r="N37" s="1">
        <f t="shared" si="8"/>
        <v>0</v>
      </c>
      <c r="O37" s="1">
        <f t="shared" si="9"/>
        <v>0</v>
      </c>
      <c r="P37" s="17">
        <f>K37-G37</f>
        <v>7</v>
      </c>
      <c r="Q37" s="3">
        <f t="shared" si="2"/>
        <v>0</v>
      </c>
      <c r="R37" s="3">
        <f t="shared" si="3"/>
        <v>0</v>
      </c>
      <c r="S37" s="19">
        <v>8750</v>
      </c>
      <c r="T37" s="3">
        <f t="shared" si="4"/>
        <v>1250</v>
      </c>
      <c r="U37" s="16"/>
      <c r="V37" s="21"/>
      <c r="AA37" s="3"/>
      <c r="AB37" s="16"/>
      <c r="AD37" s="16"/>
    </row>
    <row r="38" spans="1:30" x14ac:dyDescent="0.25">
      <c r="A38" t="s">
        <v>25</v>
      </c>
      <c r="D38" s="1">
        <f>SUM(B38:C38)</f>
        <v>0</v>
      </c>
      <c r="E38" s="1">
        <v>8615</v>
      </c>
      <c r="F38" s="1">
        <v>6434</v>
      </c>
      <c r="G38" s="1">
        <f>SUM(E38:F38)</f>
        <v>15049</v>
      </c>
      <c r="I38" s="1">
        <v>9210</v>
      </c>
      <c r="J38" s="1">
        <v>6426</v>
      </c>
      <c r="K38" s="1">
        <f>SUM(I38:J38)</f>
        <v>15636</v>
      </c>
      <c r="L38" s="38">
        <f t="shared" si="11"/>
        <v>3.9005914014220213</v>
      </c>
      <c r="N38" s="1">
        <f t="shared" si="8"/>
        <v>595</v>
      </c>
      <c r="O38" s="1">
        <f t="shared" si="9"/>
        <v>-8</v>
      </c>
      <c r="P38" s="1">
        <f>K38-G38</f>
        <v>587</v>
      </c>
      <c r="Q38" s="3">
        <f t="shared" si="2"/>
        <v>800275</v>
      </c>
      <c r="R38" s="3">
        <f t="shared" si="3"/>
        <v>-7640</v>
      </c>
      <c r="S38" s="3">
        <f>SUM(Q38:R38)</f>
        <v>792635</v>
      </c>
      <c r="T38" s="3">
        <f t="shared" si="4"/>
        <v>1350.3151618398638</v>
      </c>
      <c r="U38" s="16"/>
      <c r="V38" s="21"/>
      <c r="AA38" s="3"/>
      <c r="AB38" s="16"/>
      <c r="AD38" s="16"/>
    </row>
    <row r="39" spans="1:30" x14ac:dyDescent="0.25">
      <c r="A39" t="s">
        <v>26</v>
      </c>
      <c r="D39" s="1">
        <f>SUM(B39:C39)</f>
        <v>0</v>
      </c>
      <c r="G39" s="17">
        <v>11826</v>
      </c>
      <c r="K39" s="17">
        <v>12529</v>
      </c>
      <c r="L39" s="38">
        <f t="shared" si="11"/>
        <v>5.944529003889734</v>
      </c>
      <c r="N39" s="1">
        <f t="shared" si="8"/>
        <v>0</v>
      </c>
      <c r="O39" s="1">
        <f t="shared" si="9"/>
        <v>0</v>
      </c>
      <c r="P39" s="17">
        <v>703</v>
      </c>
      <c r="Q39" s="3">
        <f t="shared" si="2"/>
        <v>0</v>
      </c>
      <c r="R39" s="3">
        <f t="shared" si="3"/>
        <v>0</v>
      </c>
      <c r="S39" s="19">
        <f>P39*1250</f>
        <v>878750</v>
      </c>
      <c r="T39" s="3">
        <f t="shared" si="4"/>
        <v>1250</v>
      </c>
      <c r="U39" s="16"/>
      <c r="V39" s="21"/>
      <c r="AA39" s="3"/>
      <c r="AB39" s="16"/>
      <c r="AD39" s="16"/>
    </row>
    <row r="40" spans="1:30" x14ac:dyDescent="0.25">
      <c r="A40" t="s">
        <v>27</v>
      </c>
      <c r="D40" s="1">
        <v>13298</v>
      </c>
      <c r="G40" s="1">
        <v>14700</v>
      </c>
      <c r="K40" s="1">
        <v>15426</v>
      </c>
      <c r="L40" s="38">
        <f t="shared" si="11"/>
        <v>4.9387755102040822</v>
      </c>
      <c r="N40" s="1">
        <f t="shared" si="8"/>
        <v>0</v>
      </c>
      <c r="O40" s="1">
        <f t="shared" si="9"/>
        <v>0</v>
      </c>
      <c r="P40" s="1">
        <f>K40-G40</f>
        <v>726</v>
      </c>
      <c r="Q40" s="3">
        <f t="shared" si="2"/>
        <v>0</v>
      </c>
      <c r="R40" s="3">
        <f t="shared" si="3"/>
        <v>0</v>
      </c>
      <c r="S40" s="25">
        <f>P40*1250</f>
        <v>907500</v>
      </c>
      <c r="T40" s="3">
        <f t="shared" si="4"/>
        <v>1250</v>
      </c>
      <c r="U40" s="16"/>
      <c r="V40" s="21"/>
      <c r="AA40" s="3"/>
      <c r="AB40" s="16"/>
      <c r="AD40" s="16"/>
    </row>
    <row r="41" spans="1:30" x14ac:dyDescent="0.25">
      <c r="A41" t="s">
        <v>28</v>
      </c>
      <c r="D41" s="1">
        <v>8929</v>
      </c>
      <c r="G41" s="1">
        <v>10206</v>
      </c>
      <c r="K41" s="1">
        <v>10684</v>
      </c>
      <c r="L41" s="38">
        <f t="shared" si="11"/>
        <v>4.6835194983343129</v>
      </c>
      <c r="N41" s="1">
        <f t="shared" si="8"/>
        <v>0</v>
      </c>
      <c r="O41" s="1">
        <f t="shared" si="9"/>
        <v>0</v>
      </c>
      <c r="P41" s="1">
        <f>K41-G41</f>
        <v>478</v>
      </c>
      <c r="Q41" s="3">
        <f t="shared" si="2"/>
        <v>0</v>
      </c>
      <c r="R41" s="3">
        <f t="shared" si="3"/>
        <v>0</v>
      </c>
      <c r="S41" s="25">
        <f>P41*1250</f>
        <v>597500</v>
      </c>
      <c r="T41" s="3">
        <f t="shared" si="4"/>
        <v>1250</v>
      </c>
      <c r="U41" s="16"/>
      <c r="V41" s="21"/>
      <c r="AA41" s="3"/>
      <c r="AB41" s="16"/>
      <c r="AD41" s="16"/>
    </row>
    <row r="42" spans="1:30" x14ac:dyDescent="0.25">
      <c r="A42" t="s">
        <v>29</v>
      </c>
      <c r="D42" s="1">
        <f>SUM(B42:C42)</f>
        <v>0</v>
      </c>
      <c r="G42" s="17">
        <v>3934</v>
      </c>
      <c r="K42" s="17">
        <v>4066</v>
      </c>
      <c r="L42" s="38">
        <f t="shared" si="11"/>
        <v>3.355363497712252</v>
      </c>
      <c r="N42" s="1">
        <f t="shared" si="8"/>
        <v>0</v>
      </c>
      <c r="O42" s="1">
        <f t="shared" si="9"/>
        <v>0</v>
      </c>
      <c r="P42" s="17">
        <v>132</v>
      </c>
      <c r="Q42" s="3">
        <f t="shared" si="2"/>
        <v>0</v>
      </c>
      <c r="R42" s="3">
        <f t="shared" si="3"/>
        <v>0</v>
      </c>
      <c r="S42" s="19">
        <f>P42*1250</f>
        <v>165000</v>
      </c>
      <c r="T42" s="3">
        <f t="shared" si="4"/>
        <v>1250</v>
      </c>
      <c r="U42" s="16"/>
      <c r="V42" s="21"/>
      <c r="AA42" s="3"/>
      <c r="AB42" s="16"/>
      <c r="AD42" s="16"/>
    </row>
    <row r="43" spans="1:30" x14ac:dyDescent="0.25">
      <c r="A43" t="s">
        <v>30</v>
      </c>
      <c r="D43" s="1">
        <f>SUM(B43:C43)</f>
        <v>0</v>
      </c>
      <c r="G43" s="17">
        <v>10776</v>
      </c>
      <c r="K43" s="17">
        <v>11425</v>
      </c>
      <c r="L43" s="38">
        <f t="shared" si="11"/>
        <v>6.0226429101707506</v>
      </c>
      <c r="N43" s="1">
        <f t="shared" si="8"/>
        <v>0</v>
      </c>
      <c r="O43" s="1">
        <f t="shared" si="9"/>
        <v>0</v>
      </c>
      <c r="P43" s="17">
        <f t="shared" ref="P43:P55" si="12">K43-G43</f>
        <v>649</v>
      </c>
      <c r="Q43" s="3">
        <f t="shared" si="2"/>
        <v>0</v>
      </c>
      <c r="R43" s="3">
        <f t="shared" si="3"/>
        <v>0</v>
      </c>
      <c r="S43" s="19">
        <v>811250</v>
      </c>
      <c r="T43" s="3">
        <f t="shared" si="4"/>
        <v>1250</v>
      </c>
      <c r="U43" s="16"/>
      <c r="V43" s="21"/>
      <c r="Y43" s="20"/>
      <c r="AA43" s="3"/>
      <c r="AB43" s="16"/>
      <c r="AD43" s="16"/>
    </row>
    <row r="44" spans="1:30" x14ac:dyDescent="0.25">
      <c r="A44" t="s">
        <v>157</v>
      </c>
      <c r="B44" s="1">
        <v>12085</v>
      </c>
      <c r="C44" s="1">
        <v>6802</v>
      </c>
      <c r="D44" s="1">
        <f>SUM(B44:C44)</f>
        <v>18887</v>
      </c>
      <c r="E44" s="1">
        <v>13811</v>
      </c>
      <c r="F44" s="1">
        <v>7755</v>
      </c>
      <c r="G44" s="1">
        <f>SUM(E44:F44)</f>
        <v>21566</v>
      </c>
      <c r="I44" s="1">
        <v>14704</v>
      </c>
      <c r="J44" s="1">
        <v>8004</v>
      </c>
      <c r="K44" s="1">
        <f>SUM(I44:J44)</f>
        <v>22708</v>
      </c>
      <c r="L44" s="38">
        <f t="shared" si="11"/>
        <v>5.2953723453584347</v>
      </c>
      <c r="N44" s="1">
        <f t="shared" si="8"/>
        <v>893</v>
      </c>
      <c r="O44" s="1">
        <f t="shared" si="9"/>
        <v>249</v>
      </c>
      <c r="P44" s="1">
        <f t="shared" si="12"/>
        <v>1142</v>
      </c>
      <c r="Q44" s="3">
        <f t="shared" ref="Q44:Q75" si="13">N44*$Q$9</f>
        <v>1201085</v>
      </c>
      <c r="R44" s="3">
        <f t="shared" ref="R44:R75" si="14">O44*$R$9</f>
        <v>237795</v>
      </c>
      <c r="S44" s="3">
        <f>SUM(Q44:R44)</f>
        <v>1438880</v>
      </c>
      <c r="T44" s="3">
        <f t="shared" ref="T44:T75" si="15">IF(S44&gt;0,S44/P44," ")</f>
        <v>1259.9649737302977</v>
      </c>
      <c r="U44" s="16"/>
      <c r="V44" s="21"/>
      <c r="AA44" s="3"/>
      <c r="AB44" s="16"/>
      <c r="AD44" s="16"/>
    </row>
    <row r="45" spans="1:30" x14ac:dyDescent="0.25">
      <c r="A45" t="s">
        <v>31</v>
      </c>
      <c r="D45" s="1">
        <f>SUM(B45:C45)</f>
        <v>0</v>
      </c>
      <c r="G45" s="1">
        <f>SUM(E45:F45)</f>
        <v>0</v>
      </c>
      <c r="K45" s="1">
        <f>SUM(I45:J45)</f>
        <v>0</v>
      </c>
      <c r="N45" s="1">
        <f t="shared" si="8"/>
        <v>0</v>
      </c>
      <c r="O45" s="1">
        <f t="shared" si="9"/>
        <v>0</v>
      </c>
      <c r="P45" s="1">
        <f t="shared" si="12"/>
        <v>0</v>
      </c>
      <c r="Q45" s="3">
        <f t="shared" si="13"/>
        <v>0</v>
      </c>
      <c r="R45" s="3">
        <f t="shared" si="14"/>
        <v>0</v>
      </c>
      <c r="S45" s="3">
        <f>SUM(Q45:R45)</f>
        <v>0</v>
      </c>
      <c r="T45" s="3" t="str">
        <f t="shared" si="15"/>
        <v xml:space="preserve"> </v>
      </c>
      <c r="U45" s="16"/>
      <c r="V45" s="21"/>
      <c r="AA45" s="3"/>
      <c r="AB45" s="16"/>
      <c r="AD45" s="16"/>
    </row>
    <row r="46" spans="1:30" x14ac:dyDescent="0.25">
      <c r="A46" t="s">
        <v>32</v>
      </c>
      <c r="D46" s="1">
        <f>SUM(B46:C46)</f>
        <v>0</v>
      </c>
      <c r="G46" s="1">
        <f>SUM(E46:F46)</f>
        <v>0</v>
      </c>
      <c r="K46" s="1">
        <f>SUM(I46:J46)</f>
        <v>0</v>
      </c>
      <c r="N46" s="1">
        <f t="shared" si="8"/>
        <v>0</v>
      </c>
      <c r="O46" s="1">
        <f t="shared" si="9"/>
        <v>0</v>
      </c>
      <c r="P46" s="1">
        <f t="shared" si="12"/>
        <v>0</v>
      </c>
      <c r="Q46" s="3">
        <f t="shared" si="13"/>
        <v>0</v>
      </c>
      <c r="R46" s="3">
        <f t="shared" si="14"/>
        <v>0</v>
      </c>
      <c r="S46" s="3">
        <f>SUM(Q46:R46)</f>
        <v>0</v>
      </c>
      <c r="T46" s="3" t="str">
        <f t="shared" si="15"/>
        <v xml:space="preserve"> </v>
      </c>
      <c r="U46" s="16"/>
      <c r="V46" s="21"/>
      <c r="AA46" s="3"/>
      <c r="AB46" s="16"/>
      <c r="AD46" s="16"/>
    </row>
    <row r="47" spans="1:30" x14ac:dyDescent="0.25">
      <c r="A47" t="s">
        <v>33</v>
      </c>
      <c r="D47" s="1">
        <v>7488</v>
      </c>
      <c r="G47" s="1">
        <v>8200</v>
      </c>
      <c r="K47" s="1">
        <v>8566</v>
      </c>
      <c r="L47" s="38">
        <f>SUM(K47-G47)/G47*100</f>
        <v>4.463414634146341</v>
      </c>
      <c r="N47" s="1">
        <f t="shared" si="8"/>
        <v>0</v>
      </c>
      <c r="O47" s="1">
        <f t="shared" si="9"/>
        <v>0</v>
      </c>
      <c r="P47" s="1">
        <f t="shared" si="12"/>
        <v>366</v>
      </c>
      <c r="Q47" s="3">
        <f t="shared" si="13"/>
        <v>0</v>
      </c>
      <c r="R47" s="3">
        <f t="shared" si="14"/>
        <v>0</v>
      </c>
      <c r="S47" s="25">
        <f>P47*1250</f>
        <v>457500</v>
      </c>
      <c r="T47" s="3">
        <f t="shared" si="15"/>
        <v>1250</v>
      </c>
      <c r="U47" s="16"/>
      <c r="V47" s="21"/>
      <c r="AA47" s="3"/>
      <c r="AB47" s="16"/>
      <c r="AD47" s="16"/>
    </row>
    <row r="48" spans="1:30" x14ac:dyDescent="0.25">
      <c r="A48" t="s">
        <v>34</v>
      </c>
      <c r="D48" s="1">
        <f>SUM(B48:C48)</f>
        <v>0</v>
      </c>
      <c r="G48" s="17">
        <v>16291</v>
      </c>
      <c r="K48" s="17">
        <v>17607</v>
      </c>
      <c r="L48" s="38">
        <f>SUM(K48-G48)/G48*100</f>
        <v>8.0780799214290102</v>
      </c>
      <c r="N48" s="1">
        <f t="shared" si="8"/>
        <v>0</v>
      </c>
      <c r="O48" s="1">
        <f t="shared" si="9"/>
        <v>0</v>
      </c>
      <c r="P48" s="17">
        <f t="shared" si="12"/>
        <v>1316</v>
      </c>
      <c r="Q48" s="3">
        <f t="shared" si="13"/>
        <v>0</v>
      </c>
      <c r="R48" s="3">
        <f t="shared" si="14"/>
        <v>0</v>
      </c>
      <c r="S48" s="19">
        <v>1645000</v>
      </c>
      <c r="T48" s="3">
        <f t="shared" si="15"/>
        <v>1250</v>
      </c>
      <c r="U48" s="16"/>
      <c r="V48" s="21"/>
      <c r="AA48" s="3"/>
      <c r="AB48" s="16"/>
      <c r="AD48" s="16"/>
    </row>
    <row r="49" spans="1:30" x14ac:dyDescent="0.25">
      <c r="A49" t="s">
        <v>35</v>
      </c>
      <c r="D49" s="1">
        <f>SUM(B49:C49)</f>
        <v>0</v>
      </c>
      <c r="E49" s="8">
        <f>11386+(738/2)</f>
        <v>11755</v>
      </c>
      <c r="F49" s="8">
        <f>6198+(738/2)</f>
        <v>6567</v>
      </c>
      <c r="G49" s="1">
        <f>SUM(E49:F49)</f>
        <v>18322</v>
      </c>
      <c r="I49" s="8">
        <f>12010+(758/2)-10</f>
        <v>12379</v>
      </c>
      <c r="J49" s="8">
        <f>6318+(758/2)+10</f>
        <v>6707</v>
      </c>
      <c r="K49" s="1">
        <f>SUM(I49:J49)</f>
        <v>19086</v>
      </c>
      <c r="L49" s="38">
        <f>SUM(K49-G49)/G49*100</f>
        <v>4.1698504530073137</v>
      </c>
      <c r="N49" s="1">
        <f t="shared" si="8"/>
        <v>624</v>
      </c>
      <c r="O49" s="1">
        <f t="shared" si="9"/>
        <v>140</v>
      </c>
      <c r="P49" s="1">
        <f t="shared" si="12"/>
        <v>764</v>
      </c>
      <c r="Q49" s="3">
        <f t="shared" si="13"/>
        <v>839280</v>
      </c>
      <c r="R49" s="3">
        <f t="shared" si="14"/>
        <v>133700</v>
      </c>
      <c r="S49" s="3">
        <f>SUM(Q49:R49)</f>
        <v>972980</v>
      </c>
      <c r="T49" s="3">
        <f t="shared" si="15"/>
        <v>1273.5340314136126</v>
      </c>
      <c r="U49" s="16"/>
      <c r="V49" s="21"/>
      <c r="AA49" s="3"/>
      <c r="AB49" s="16"/>
      <c r="AD49" s="16"/>
    </row>
    <row r="50" spans="1:30" x14ac:dyDescent="0.25">
      <c r="A50" t="s">
        <v>36</v>
      </c>
      <c r="D50" s="1">
        <f>SUM(B50:C50)</f>
        <v>0</v>
      </c>
      <c r="G50" s="31">
        <v>10786</v>
      </c>
      <c r="K50" s="31">
        <f>10786+724</f>
        <v>11510</v>
      </c>
      <c r="L50" s="38">
        <f>SUM(K50-G50)/G50*100</f>
        <v>6.7124049694047834</v>
      </c>
      <c r="N50" s="31">
        <v>548</v>
      </c>
      <c r="O50" s="31">
        <v>176</v>
      </c>
      <c r="P50" s="31">
        <f t="shared" si="12"/>
        <v>724</v>
      </c>
      <c r="Q50" s="3">
        <f t="shared" si="13"/>
        <v>737060</v>
      </c>
      <c r="R50" s="3">
        <f t="shared" si="14"/>
        <v>168080</v>
      </c>
      <c r="S50" s="3">
        <v>905000</v>
      </c>
      <c r="T50" s="3">
        <f t="shared" si="15"/>
        <v>1250</v>
      </c>
      <c r="U50" s="16"/>
      <c r="V50" s="21"/>
      <c r="AA50" s="3"/>
      <c r="AB50" s="16"/>
      <c r="AD50" s="16"/>
    </row>
    <row r="51" spans="1:30" x14ac:dyDescent="0.25">
      <c r="A51" t="s">
        <v>37</v>
      </c>
      <c r="D51" s="1">
        <f>SUM(B51:C51)</f>
        <v>0</v>
      </c>
      <c r="G51" s="1">
        <f>SUM(E51:F51)</f>
        <v>0</v>
      </c>
      <c r="K51" s="1">
        <f>SUM(I51:J51)</f>
        <v>0</v>
      </c>
      <c r="N51" s="1">
        <f t="shared" ref="N51:O55" si="16">I51-E51</f>
        <v>0</v>
      </c>
      <c r="O51" s="1">
        <f t="shared" si="16"/>
        <v>0</v>
      </c>
      <c r="P51" s="1">
        <f t="shared" si="12"/>
        <v>0</v>
      </c>
      <c r="Q51" s="3">
        <f t="shared" si="13"/>
        <v>0</v>
      </c>
      <c r="R51" s="3">
        <f t="shared" si="14"/>
        <v>0</v>
      </c>
      <c r="S51" s="3">
        <f>SUM(Q51:R51)</f>
        <v>0</v>
      </c>
      <c r="T51" s="3" t="str">
        <f t="shared" si="15"/>
        <v xml:space="preserve"> </v>
      </c>
      <c r="U51" s="16"/>
      <c r="V51" s="21"/>
      <c r="AA51" s="3"/>
      <c r="AB51" s="16"/>
      <c r="AD51" s="16"/>
    </row>
    <row r="52" spans="1:30" x14ac:dyDescent="0.25">
      <c r="A52" t="s">
        <v>38</v>
      </c>
      <c r="D52" s="1">
        <v>11424</v>
      </c>
      <c r="G52" s="1">
        <v>13099</v>
      </c>
      <c r="K52" s="1">
        <v>13862</v>
      </c>
      <c r="L52" s="38">
        <f>SUM(K52-G52)/G52*100</f>
        <v>5.8248721276433315</v>
      </c>
      <c r="N52" s="1">
        <f t="shared" si="16"/>
        <v>0</v>
      </c>
      <c r="O52" s="1">
        <f t="shared" si="16"/>
        <v>0</v>
      </c>
      <c r="P52" s="1">
        <f t="shared" si="12"/>
        <v>763</v>
      </c>
      <c r="Q52" s="3">
        <f t="shared" si="13"/>
        <v>0</v>
      </c>
      <c r="R52" s="3">
        <f t="shared" si="14"/>
        <v>0</v>
      </c>
      <c r="S52" s="25">
        <f>P52*1250</f>
        <v>953750</v>
      </c>
      <c r="T52" s="3">
        <f t="shared" si="15"/>
        <v>1250</v>
      </c>
      <c r="U52" s="16"/>
      <c r="V52" s="21"/>
      <c r="AA52" s="3"/>
      <c r="AB52" s="16"/>
      <c r="AD52" s="16"/>
    </row>
    <row r="53" spans="1:30" x14ac:dyDescent="0.25">
      <c r="A53" t="s">
        <v>39</v>
      </c>
      <c r="D53" s="1">
        <f>SUM(B53:C53)</f>
        <v>0</v>
      </c>
      <c r="G53" s="1">
        <v>12512</v>
      </c>
      <c r="K53" s="1">
        <v>13534</v>
      </c>
      <c r="L53" s="38">
        <f>SUM(K53-G53)/G53*100</f>
        <v>8.1681585677749364</v>
      </c>
      <c r="N53" s="1">
        <f t="shared" si="16"/>
        <v>0</v>
      </c>
      <c r="O53" s="1">
        <f t="shared" si="16"/>
        <v>0</v>
      </c>
      <c r="P53" s="1">
        <f t="shared" si="12"/>
        <v>1022</v>
      </c>
      <c r="Q53" s="3">
        <f t="shared" si="13"/>
        <v>0</v>
      </c>
      <c r="R53" s="3">
        <f t="shared" si="14"/>
        <v>0</v>
      </c>
      <c r="S53" s="25">
        <f>P53*1250</f>
        <v>1277500</v>
      </c>
      <c r="T53" s="3">
        <f t="shared" si="15"/>
        <v>1250</v>
      </c>
      <c r="U53" s="16"/>
      <c r="V53" s="21"/>
      <c r="AA53" s="3"/>
      <c r="AB53" s="16"/>
      <c r="AD53" s="16"/>
    </row>
    <row r="54" spans="1:30" x14ac:dyDescent="0.25">
      <c r="A54" t="s">
        <v>40</v>
      </c>
      <c r="D54" s="1">
        <f>SUM(B54:C54)</f>
        <v>0</v>
      </c>
      <c r="E54" s="1">
        <v>19666</v>
      </c>
      <c r="F54" s="1">
        <v>11081</v>
      </c>
      <c r="G54" s="1">
        <f>SUM(E54:F54)</f>
        <v>30747</v>
      </c>
      <c r="I54" s="1">
        <v>21290</v>
      </c>
      <c r="J54" s="1">
        <v>12347</v>
      </c>
      <c r="K54" s="1">
        <f>SUM(I54:J54)</f>
        <v>33637</v>
      </c>
      <c r="L54" s="38">
        <f>SUM(K54-G54)/G54*100</f>
        <v>9.3992909877386417</v>
      </c>
      <c r="N54" s="1">
        <f t="shared" si="16"/>
        <v>1624</v>
      </c>
      <c r="O54" s="1">
        <f t="shared" si="16"/>
        <v>1266</v>
      </c>
      <c r="P54" s="1">
        <f t="shared" si="12"/>
        <v>2890</v>
      </c>
      <c r="Q54" s="3">
        <f t="shared" si="13"/>
        <v>2184280</v>
      </c>
      <c r="R54" s="3">
        <f t="shared" si="14"/>
        <v>1209030</v>
      </c>
      <c r="S54" s="3">
        <f>SUM(Q54:R54)</f>
        <v>3393310</v>
      </c>
      <c r="T54" s="3">
        <f t="shared" si="15"/>
        <v>1174.1557093425606</v>
      </c>
      <c r="U54" s="16"/>
      <c r="V54" s="21"/>
      <c r="AA54" s="3"/>
      <c r="AB54" s="16"/>
      <c r="AD54" s="16"/>
    </row>
    <row r="55" spans="1:30" x14ac:dyDescent="0.25">
      <c r="A55" t="s">
        <v>41</v>
      </c>
      <c r="G55" s="17">
        <v>6743</v>
      </c>
      <c r="K55" s="17">
        <v>7038</v>
      </c>
      <c r="L55" s="38">
        <f>SUM(K55-G55)/G55*100</f>
        <v>4.3749073112857779</v>
      </c>
      <c r="N55" s="1">
        <f t="shared" si="16"/>
        <v>0</v>
      </c>
      <c r="O55" s="1">
        <f t="shared" si="16"/>
        <v>0</v>
      </c>
      <c r="P55" s="17">
        <f t="shared" si="12"/>
        <v>295</v>
      </c>
      <c r="Q55" s="3">
        <f t="shared" si="13"/>
        <v>0</v>
      </c>
      <c r="R55" s="3">
        <f t="shared" si="14"/>
        <v>0</v>
      </c>
      <c r="S55" s="19">
        <v>368750</v>
      </c>
      <c r="T55" s="3">
        <f t="shared" si="15"/>
        <v>1250</v>
      </c>
      <c r="U55" s="16"/>
      <c r="V55" s="21"/>
      <c r="AA55" s="3"/>
      <c r="AB55" s="16"/>
      <c r="AD55" s="16"/>
    </row>
    <row r="56" spans="1:30" x14ac:dyDescent="0.25">
      <c r="A56" t="s">
        <v>42</v>
      </c>
      <c r="D56" s="1">
        <v>12569</v>
      </c>
      <c r="G56" s="1">
        <v>15462</v>
      </c>
      <c r="K56" s="36">
        <v>16186</v>
      </c>
      <c r="L56" s="38">
        <f>SUM(K56-G56)/G56*100</f>
        <v>4.6824472901306429</v>
      </c>
      <c r="N56" s="36">
        <v>902</v>
      </c>
      <c r="O56" s="36">
        <v>196</v>
      </c>
      <c r="P56" s="36">
        <f>N56+O56</f>
        <v>1098</v>
      </c>
      <c r="Q56" s="3">
        <f t="shared" si="13"/>
        <v>1213190</v>
      </c>
      <c r="R56" s="3">
        <f t="shared" si="14"/>
        <v>187180</v>
      </c>
      <c r="S56" s="3">
        <f>SUM(Q56:R56)</f>
        <v>1400370</v>
      </c>
      <c r="T56" s="3">
        <f t="shared" si="15"/>
        <v>1275.3825136612022</v>
      </c>
      <c r="U56" s="16"/>
      <c r="V56" s="21"/>
      <c r="AA56" s="3"/>
      <c r="AB56" s="16"/>
      <c r="AD56" s="16"/>
    </row>
    <row r="57" spans="1:30" x14ac:dyDescent="0.25">
      <c r="A57" t="s">
        <v>43</v>
      </c>
      <c r="D57" s="1">
        <f>SUM(B57:C57)</f>
        <v>0</v>
      </c>
      <c r="G57" s="1">
        <f>SUM(E57:F57)</f>
        <v>0</v>
      </c>
      <c r="K57" s="1">
        <f>SUM(I57:J57)</f>
        <v>0</v>
      </c>
      <c r="N57" s="1">
        <f t="shared" ref="N57:P61" si="17">I57-E57</f>
        <v>0</v>
      </c>
      <c r="O57" s="1">
        <f t="shared" si="17"/>
        <v>0</v>
      </c>
      <c r="P57" s="1">
        <f t="shared" si="17"/>
        <v>0</v>
      </c>
      <c r="Q57" s="3">
        <f t="shared" si="13"/>
        <v>0</v>
      </c>
      <c r="R57" s="3">
        <f t="shared" si="14"/>
        <v>0</v>
      </c>
      <c r="S57" s="3">
        <f>SUM(Q57:R57)</f>
        <v>0</v>
      </c>
      <c r="T57" s="3" t="str">
        <f t="shared" si="15"/>
        <v xml:space="preserve"> </v>
      </c>
      <c r="U57" s="16"/>
      <c r="V57" s="21"/>
      <c r="AA57" s="3"/>
      <c r="AB57" s="16"/>
      <c r="AD57" s="16"/>
    </row>
    <row r="58" spans="1:30" x14ac:dyDescent="0.25">
      <c r="A58" t="s">
        <v>44</v>
      </c>
      <c r="D58" s="1">
        <v>10308</v>
      </c>
      <c r="G58" s="1">
        <v>11195</v>
      </c>
      <c r="K58" s="1">
        <v>11631</v>
      </c>
      <c r="N58" s="1">
        <f t="shared" si="17"/>
        <v>0</v>
      </c>
      <c r="O58" s="1">
        <f t="shared" si="17"/>
        <v>0</v>
      </c>
      <c r="P58" s="1">
        <f t="shared" si="17"/>
        <v>436</v>
      </c>
      <c r="Q58" s="3">
        <f t="shared" si="13"/>
        <v>0</v>
      </c>
      <c r="R58" s="3">
        <f t="shared" si="14"/>
        <v>0</v>
      </c>
      <c r="S58" s="25">
        <f>P58*1250</f>
        <v>545000</v>
      </c>
      <c r="T58" s="3">
        <f t="shared" si="15"/>
        <v>1250</v>
      </c>
      <c r="U58" s="16"/>
      <c r="V58" s="21"/>
      <c r="AA58" s="3"/>
      <c r="AB58" s="16"/>
      <c r="AD58" s="16"/>
    </row>
    <row r="59" spans="1:30" x14ac:dyDescent="0.25">
      <c r="A59" t="s">
        <v>45</v>
      </c>
      <c r="D59" s="1">
        <f>SUM(B59:C59)</f>
        <v>0</v>
      </c>
      <c r="G59" s="1">
        <f>SUM(E59:F59)</f>
        <v>0</v>
      </c>
      <c r="K59" s="1">
        <f>SUM(I59:J59)</f>
        <v>0</v>
      </c>
      <c r="N59" s="1">
        <f t="shared" si="17"/>
        <v>0</v>
      </c>
      <c r="O59" s="1">
        <f t="shared" si="17"/>
        <v>0</v>
      </c>
      <c r="P59" s="1">
        <f t="shared" si="17"/>
        <v>0</v>
      </c>
      <c r="Q59" s="3">
        <f t="shared" si="13"/>
        <v>0</v>
      </c>
      <c r="R59" s="3">
        <f t="shared" si="14"/>
        <v>0</v>
      </c>
      <c r="S59" s="3">
        <f>SUM(Q59:R59)</f>
        <v>0</v>
      </c>
      <c r="T59" s="3" t="str">
        <f t="shared" si="15"/>
        <v xml:space="preserve"> </v>
      </c>
      <c r="U59" s="16"/>
      <c r="V59" s="21"/>
      <c r="AA59" s="3"/>
      <c r="AB59" s="16"/>
      <c r="AD59" s="16"/>
    </row>
    <row r="60" spans="1:30" x14ac:dyDescent="0.25">
      <c r="A60" t="s">
        <v>46</v>
      </c>
      <c r="D60" s="1">
        <v>4746</v>
      </c>
      <c r="G60" s="1">
        <v>5119</v>
      </c>
      <c r="K60" s="1">
        <v>5549</v>
      </c>
      <c r="L60" s="38">
        <f>SUM(K60-G60)/G60*100</f>
        <v>8.4000781402617708</v>
      </c>
      <c r="N60" s="1">
        <f t="shared" si="17"/>
        <v>0</v>
      </c>
      <c r="O60" s="1">
        <f t="shared" si="17"/>
        <v>0</v>
      </c>
      <c r="P60" s="1">
        <f t="shared" si="17"/>
        <v>430</v>
      </c>
      <c r="Q60" s="3">
        <f t="shared" si="13"/>
        <v>0</v>
      </c>
      <c r="R60" s="3">
        <f t="shared" si="14"/>
        <v>0</v>
      </c>
      <c r="S60" s="25">
        <f>P60*1250</f>
        <v>537500</v>
      </c>
      <c r="T60" s="3">
        <f t="shared" si="15"/>
        <v>1250</v>
      </c>
      <c r="U60" s="16"/>
      <c r="V60" s="21"/>
      <c r="AA60" s="3"/>
      <c r="AB60" s="16"/>
      <c r="AD60" s="16"/>
    </row>
    <row r="61" spans="1:30" x14ac:dyDescent="0.25">
      <c r="A61" t="s">
        <v>47</v>
      </c>
      <c r="D61" s="1">
        <v>22212</v>
      </c>
      <c r="G61" s="1">
        <v>26384</v>
      </c>
      <c r="K61" s="1">
        <v>28080</v>
      </c>
      <c r="L61" s="38">
        <f>SUM(K61-G61)/G61*100</f>
        <v>6.4281382656155239</v>
      </c>
      <c r="N61" s="1">
        <f t="shared" si="17"/>
        <v>0</v>
      </c>
      <c r="O61" s="1">
        <f t="shared" si="17"/>
        <v>0</v>
      </c>
      <c r="P61" s="1">
        <f t="shared" si="17"/>
        <v>1696</v>
      </c>
      <c r="Q61" s="3">
        <f t="shared" si="13"/>
        <v>0</v>
      </c>
      <c r="R61" s="3">
        <f t="shared" si="14"/>
        <v>0</v>
      </c>
      <c r="S61" s="25">
        <f>P61*1250</f>
        <v>2120000</v>
      </c>
      <c r="T61" s="3">
        <f t="shared" si="15"/>
        <v>1250</v>
      </c>
      <c r="U61" s="16"/>
      <c r="V61" s="21"/>
      <c r="AA61" s="3"/>
      <c r="AB61" s="16"/>
      <c r="AD61" s="16"/>
    </row>
    <row r="62" spans="1:30" x14ac:dyDescent="0.25">
      <c r="A62" t="s">
        <v>48</v>
      </c>
      <c r="D62" s="1">
        <v>7643</v>
      </c>
      <c r="G62" s="1">
        <v>8126</v>
      </c>
      <c r="K62" s="1">
        <v>8690</v>
      </c>
      <c r="L62" s="38">
        <f>SUM(K62-G62)/G62*100</f>
        <v>6.9406842234801864</v>
      </c>
      <c r="N62" s="27">
        <v>390</v>
      </c>
      <c r="O62" s="27">
        <v>174</v>
      </c>
      <c r="P62" s="1">
        <f t="shared" ref="P62:P89" si="18">K62-G62</f>
        <v>564</v>
      </c>
      <c r="Q62" s="3">
        <f t="shared" si="13"/>
        <v>524550</v>
      </c>
      <c r="R62" s="3">
        <f t="shared" si="14"/>
        <v>166170</v>
      </c>
      <c r="S62" s="3">
        <f>SUM(Q62:R62)</f>
        <v>690720</v>
      </c>
      <c r="T62" s="3">
        <f t="shared" si="15"/>
        <v>1224.6808510638298</v>
      </c>
      <c r="U62" s="16"/>
      <c r="V62" s="21"/>
      <c r="AA62" s="3"/>
      <c r="AB62" s="16"/>
      <c r="AD62" s="16"/>
    </row>
    <row r="63" spans="1:30" x14ac:dyDescent="0.25">
      <c r="A63" t="s">
        <v>49</v>
      </c>
      <c r="D63" s="1">
        <f>SUM(B63:C63)</f>
        <v>0</v>
      </c>
      <c r="G63" s="1">
        <v>5245</v>
      </c>
      <c r="K63" s="1">
        <v>5780</v>
      </c>
      <c r="L63" s="38">
        <f>SUM(K63-G63)/G63*100</f>
        <v>10.200190657769303</v>
      </c>
      <c r="N63" s="1">
        <f>I63-E63</f>
        <v>0</v>
      </c>
      <c r="O63" s="1">
        <f>J63-F63</f>
        <v>0</v>
      </c>
      <c r="P63" s="1">
        <f t="shared" si="18"/>
        <v>535</v>
      </c>
      <c r="Q63" s="3">
        <f t="shared" si="13"/>
        <v>0</v>
      </c>
      <c r="R63" s="3">
        <f t="shared" si="14"/>
        <v>0</v>
      </c>
      <c r="S63" s="25">
        <f>P63*1250</f>
        <v>668750</v>
      </c>
      <c r="T63" s="3">
        <f t="shared" si="15"/>
        <v>1250</v>
      </c>
      <c r="U63" s="16"/>
      <c r="V63" s="21"/>
      <c r="AA63" s="3"/>
      <c r="AB63" s="16"/>
      <c r="AD63" s="16"/>
    </row>
    <row r="64" spans="1:30" x14ac:dyDescent="0.25">
      <c r="A64" t="s">
        <v>50</v>
      </c>
      <c r="D64" s="1">
        <f>SUM(B64:C64)</f>
        <v>0</v>
      </c>
      <c r="G64" s="1">
        <f>SUM(E64:F64)</f>
        <v>0</v>
      </c>
      <c r="K64" s="1">
        <f>SUM(I64:J64)</f>
        <v>0</v>
      </c>
      <c r="N64" s="1">
        <f>I64-E64</f>
        <v>0</v>
      </c>
      <c r="O64" s="1">
        <f>J64-F64</f>
        <v>0</v>
      </c>
      <c r="P64" s="1">
        <f t="shared" si="18"/>
        <v>0</v>
      </c>
      <c r="Q64" s="3">
        <f t="shared" si="13"/>
        <v>0</v>
      </c>
      <c r="R64" s="3">
        <f t="shared" si="14"/>
        <v>0</v>
      </c>
      <c r="S64" s="3">
        <f>SUM(Q64:R64)</f>
        <v>0</v>
      </c>
      <c r="T64" s="3" t="str">
        <f t="shared" si="15"/>
        <v xml:space="preserve"> </v>
      </c>
      <c r="U64" s="16"/>
      <c r="V64" s="21"/>
      <c r="AA64" s="3"/>
      <c r="AB64" s="16"/>
      <c r="AD64" s="16"/>
    </row>
    <row r="65" spans="1:30" x14ac:dyDescent="0.25">
      <c r="A65" t="s">
        <v>51</v>
      </c>
      <c r="D65" s="1">
        <v>5694</v>
      </c>
      <c r="G65" s="1">
        <v>6494</v>
      </c>
      <c r="K65" s="1">
        <v>6901</v>
      </c>
      <c r="L65" s="38">
        <f t="shared" ref="L65:L70" si="19">SUM(K65-G65)/G65*100</f>
        <v>6.2673236834000612</v>
      </c>
      <c r="N65" s="27">
        <v>322</v>
      </c>
      <c r="O65" s="27">
        <v>85</v>
      </c>
      <c r="P65" s="1">
        <f t="shared" si="18"/>
        <v>407</v>
      </c>
      <c r="Q65" s="3">
        <f t="shared" si="13"/>
        <v>433090</v>
      </c>
      <c r="R65" s="3">
        <f t="shared" si="14"/>
        <v>81175</v>
      </c>
      <c r="S65" s="3">
        <f>SUM(Q65:R65)</f>
        <v>514265</v>
      </c>
      <c r="T65" s="3">
        <f t="shared" si="15"/>
        <v>1263.5503685503686</v>
      </c>
      <c r="U65" s="16"/>
      <c r="V65" s="21"/>
      <c r="AA65" s="3"/>
      <c r="AB65" s="16"/>
      <c r="AD65" s="16"/>
    </row>
    <row r="66" spans="1:30" x14ac:dyDescent="0.25">
      <c r="A66" t="s">
        <v>52</v>
      </c>
      <c r="D66" s="1">
        <v>2770</v>
      </c>
      <c r="G66" s="1">
        <v>3249</v>
      </c>
      <c r="K66" s="1">
        <v>3447</v>
      </c>
      <c r="L66" s="38">
        <f t="shared" si="19"/>
        <v>6.094182825484765</v>
      </c>
      <c r="N66" s="27">
        <f t="shared" ref="N66:O68" si="20">I66-E66</f>
        <v>0</v>
      </c>
      <c r="O66" s="27">
        <f t="shared" si="20"/>
        <v>0</v>
      </c>
      <c r="P66" s="1">
        <f t="shared" si="18"/>
        <v>198</v>
      </c>
      <c r="Q66" s="3">
        <f t="shared" si="13"/>
        <v>0</v>
      </c>
      <c r="R66" s="3">
        <f t="shared" si="14"/>
        <v>0</v>
      </c>
      <c r="S66" s="25">
        <f>P66*1250</f>
        <v>247500</v>
      </c>
      <c r="T66" s="3">
        <f t="shared" si="15"/>
        <v>1250</v>
      </c>
      <c r="U66" s="16"/>
      <c r="V66" s="21"/>
      <c r="AA66" s="3"/>
      <c r="AB66" s="16"/>
      <c r="AD66" s="16"/>
    </row>
    <row r="67" spans="1:30" x14ac:dyDescent="0.25">
      <c r="A67" t="s">
        <v>53</v>
      </c>
      <c r="D67" s="1">
        <v>19776</v>
      </c>
      <c r="G67" s="1">
        <v>22864</v>
      </c>
      <c r="K67" s="1">
        <v>24300</v>
      </c>
      <c r="L67" s="38">
        <f t="shared" si="19"/>
        <v>6.2806158152554232</v>
      </c>
      <c r="N67" s="27">
        <f t="shared" si="20"/>
        <v>0</v>
      </c>
      <c r="O67" s="27">
        <f t="shared" si="20"/>
        <v>0</v>
      </c>
      <c r="P67" s="1">
        <f t="shared" si="18"/>
        <v>1436</v>
      </c>
      <c r="Q67" s="3">
        <f t="shared" si="13"/>
        <v>0</v>
      </c>
      <c r="R67" s="3">
        <f t="shared" si="14"/>
        <v>0</v>
      </c>
      <c r="S67" s="25">
        <f>P67*1250</f>
        <v>1795000</v>
      </c>
      <c r="T67" s="3">
        <f t="shared" si="15"/>
        <v>1250</v>
      </c>
      <c r="U67" s="16"/>
      <c r="V67" s="21"/>
      <c r="AA67" s="3"/>
      <c r="AB67" s="16"/>
      <c r="AD67" s="16"/>
    </row>
    <row r="68" spans="1:30" x14ac:dyDescent="0.25">
      <c r="A68" t="s">
        <v>54</v>
      </c>
      <c r="D68" s="1">
        <v>7923</v>
      </c>
      <c r="G68" s="1">
        <v>8830</v>
      </c>
      <c r="K68" s="1">
        <v>9330</v>
      </c>
      <c r="L68" s="38">
        <f t="shared" si="19"/>
        <v>5.6625141562853907</v>
      </c>
      <c r="N68" s="27">
        <f t="shared" si="20"/>
        <v>0</v>
      </c>
      <c r="O68" s="27">
        <f t="shared" si="20"/>
        <v>0</v>
      </c>
      <c r="P68" s="1">
        <f t="shared" si="18"/>
        <v>500</v>
      </c>
      <c r="Q68" s="3">
        <f t="shared" si="13"/>
        <v>0</v>
      </c>
      <c r="R68" s="3">
        <f t="shared" si="14"/>
        <v>0</v>
      </c>
      <c r="S68" s="25">
        <f>P68*1250</f>
        <v>625000</v>
      </c>
      <c r="T68" s="3">
        <f t="shared" si="15"/>
        <v>1250</v>
      </c>
      <c r="U68" s="16"/>
      <c r="V68" s="21"/>
      <c r="AA68" s="3"/>
      <c r="AB68" s="16"/>
      <c r="AD68" s="16"/>
    </row>
    <row r="69" spans="1:30" x14ac:dyDescent="0.25">
      <c r="A69" t="s">
        <v>55</v>
      </c>
      <c r="D69" s="1">
        <v>7952</v>
      </c>
      <c r="G69" s="1">
        <v>7632</v>
      </c>
      <c r="K69" s="1">
        <v>8155</v>
      </c>
      <c r="L69" s="38">
        <f t="shared" si="19"/>
        <v>6.8527253668763093</v>
      </c>
      <c r="N69" s="27">
        <v>523</v>
      </c>
      <c r="O69" s="27">
        <v>0</v>
      </c>
      <c r="P69" s="1">
        <f t="shared" si="18"/>
        <v>523</v>
      </c>
      <c r="Q69" s="3">
        <f t="shared" si="13"/>
        <v>703435</v>
      </c>
      <c r="R69" s="3">
        <f t="shared" si="14"/>
        <v>0</v>
      </c>
      <c r="S69" s="3">
        <f>SUM(Q69:R69)</f>
        <v>703435</v>
      </c>
      <c r="T69" s="3">
        <f t="shared" si="15"/>
        <v>1345</v>
      </c>
      <c r="U69" s="16"/>
      <c r="V69" s="21"/>
      <c r="AA69" s="3"/>
      <c r="AB69" s="16"/>
      <c r="AD69" s="16"/>
    </row>
    <row r="70" spans="1:30" x14ac:dyDescent="0.25">
      <c r="A70" t="s">
        <v>56</v>
      </c>
      <c r="D70" s="1">
        <f>SUM(B70:C70)</f>
        <v>0</v>
      </c>
      <c r="G70" s="17">
        <v>3110</v>
      </c>
      <c r="K70" s="17">
        <v>3368</v>
      </c>
      <c r="L70" s="38">
        <f t="shared" si="19"/>
        <v>8.2958199356913198</v>
      </c>
      <c r="N70" s="1">
        <f>I70-E70</f>
        <v>0</v>
      </c>
      <c r="O70" s="1">
        <f>J70-F70</f>
        <v>0</v>
      </c>
      <c r="P70" s="17">
        <f t="shared" si="18"/>
        <v>258</v>
      </c>
      <c r="Q70" s="3">
        <f t="shared" si="13"/>
        <v>0</v>
      </c>
      <c r="R70" s="3">
        <f t="shared" si="14"/>
        <v>0</v>
      </c>
      <c r="S70" s="19">
        <v>322500</v>
      </c>
      <c r="T70" s="3">
        <f t="shared" si="15"/>
        <v>1250</v>
      </c>
      <c r="U70" s="16"/>
      <c r="V70" s="21"/>
      <c r="AA70" s="3"/>
      <c r="AB70" s="16"/>
      <c r="AD70" s="16"/>
    </row>
    <row r="71" spans="1:30" x14ac:dyDescent="0.25">
      <c r="A71" t="s">
        <v>57</v>
      </c>
      <c r="D71" s="1">
        <f>SUM(B71:C71)</f>
        <v>0</v>
      </c>
      <c r="G71" s="1">
        <f>SUM(E71:F71)</f>
        <v>0</v>
      </c>
      <c r="K71" s="1">
        <f>SUM(I71:J71)</f>
        <v>0</v>
      </c>
      <c r="N71" s="1">
        <f>I71-E71</f>
        <v>0</v>
      </c>
      <c r="O71" s="1">
        <f>J71-F71</f>
        <v>0</v>
      </c>
      <c r="P71" s="1">
        <f t="shared" si="18"/>
        <v>0</v>
      </c>
      <c r="Q71" s="3">
        <f t="shared" si="13"/>
        <v>0</v>
      </c>
      <c r="R71" s="3">
        <f t="shared" si="14"/>
        <v>0</v>
      </c>
      <c r="S71" s="3">
        <f>SUM(Q71:R71)</f>
        <v>0</v>
      </c>
      <c r="T71" s="3" t="str">
        <f t="shared" si="15"/>
        <v xml:space="preserve"> </v>
      </c>
      <c r="U71" s="16"/>
      <c r="V71" s="21"/>
      <c r="AA71" s="3"/>
      <c r="AB71" s="16"/>
      <c r="AD71" s="16"/>
    </row>
    <row r="72" spans="1:30" x14ac:dyDescent="0.25">
      <c r="A72" t="s">
        <v>58</v>
      </c>
      <c r="D72" s="1">
        <v>7183</v>
      </c>
      <c r="G72" s="1">
        <v>7959</v>
      </c>
      <c r="K72" s="1">
        <v>8352</v>
      </c>
      <c r="L72" s="38">
        <f>SUM(K72-G72)/G72*100</f>
        <v>4.9378062570674706</v>
      </c>
      <c r="N72" s="1">
        <v>287</v>
      </c>
      <c r="O72" s="1">
        <v>106</v>
      </c>
      <c r="P72" s="1">
        <f t="shared" si="18"/>
        <v>393</v>
      </c>
      <c r="Q72" s="3">
        <f t="shared" si="13"/>
        <v>386015</v>
      </c>
      <c r="R72" s="3">
        <f t="shared" si="14"/>
        <v>101230</v>
      </c>
      <c r="S72" s="3">
        <f>SUM(Q72:R72)</f>
        <v>487245</v>
      </c>
      <c r="T72" s="3">
        <f t="shared" si="15"/>
        <v>1239.8091603053435</v>
      </c>
      <c r="U72" s="16"/>
      <c r="V72" s="21"/>
      <c r="AA72" s="3"/>
      <c r="AB72" s="16"/>
      <c r="AD72" s="16"/>
    </row>
    <row r="73" spans="1:30" x14ac:dyDescent="0.25">
      <c r="A73" t="s">
        <v>59</v>
      </c>
      <c r="D73" s="1">
        <v>3287</v>
      </c>
      <c r="G73" s="1">
        <v>3688</v>
      </c>
      <c r="K73" s="1">
        <v>3871</v>
      </c>
      <c r="L73" s="38">
        <f>SUM(K73-G73)/G73*100</f>
        <v>4.9620390455531451</v>
      </c>
      <c r="N73" s="1">
        <f t="shared" ref="N73:N89" si="21">I73-E73</f>
        <v>0</v>
      </c>
      <c r="O73" s="1">
        <f t="shared" ref="O73:O89" si="22">J73-F73</f>
        <v>0</v>
      </c>
      <c r="P73" s="1">
        <f t="shared" si="18"/>
        <v>183</v>
      </c>
      <c r="Q73" s="3">
        <f t="shared" si="13"/>
        <v>0</v>
      </c>
      <c r="R73" s="3">
        <f t="shared" si="14"/>
        <v>0</v>
      </c>
      <c r="S73" s="25">
        <f>P73*1250</f>
        <v>228750</v>
      </c>
      <c r="T73" s="3">
        <f t="shared" si="15"/>
        <v>1250</v>
      </c>
      <c r="U73" s="16"/>
      <c r="V73" s="21"/>
      <c r="AA73" s="3"/>
      <c r="AB73" s="16"/>
      <c r="AD73" s="16"/>
    </row>
    <row r="74" spans="1:30" x14ac:dyDescent="0.25">
      <c r="A74" t="s">
        <v>60</v>
      </c>
      <c r="D74" s="1">
        <v>33006</v>
      </c>
      <c r="G74" s="1">
        <v>39002</v>
      </c>
      <c r="K74" s="1">
        <v>42400</v>
      </c>
      <c r="L74" s="38">
        <f>SUM(K74-G74)/G74*100</f>
        <v>8.7123737244243884</v>
      </c>
      <c r="N74" s="1">
        <f t="shared" si="21"/>
        <v>0</v>
      </c>
      <c r="O74" s="1">
        <f t="shared" si="22"/>
        <v>0</v>
      </c>
      <c r="P74" s="1">
        <f t="shared" si="18"/>
        <v>3398</v>
      </c>
      <c r="Q74" s="3">
        <f t="shared" si="13"/>
        <v>0</v>
      </c>
      <c r="R74" s="3">
        <f t="shared" si="14"/>
        <v>0</v>
      </c>
      <c r="S74" s="3">
        <v>4000000</v>
      </c>
      <c r="T74" s="3">
        <f t="shared" si="15"/>
        <v>1177.1630370806356</v>
      </c>
      <c r="U74" s="16"/>
      <c r="V74" s="21"/>
      <c r="AA74" s="3"/>
      <c r="AB74" s="16"/>
      <c r="AD74" s="16"/>
    </row>
    <row r="75" spans="1:30" x14ac:dyDescent="0.25">
      <c r="A75" t="s">
        <v>61</v>
      </c>
      <c r="D75" s="1">
        <f>SUM(B75:C75)</f>
        <v>0</v>
      </c>
      <c r="G75" s="17">
        <v>11667</v>
      </c>
      <c r="K75" s="17">
        <v>12466</v>
      </c>
      <c r="L75" s="38">
        <f>SUM(K75-G75)/G75*100</f>
        <v>6.8483757606925515</v>
      </c>
      <c r="N75" s="1">
        <f t="shared" si="21"/>
        <v>0</v>
      </c>
      <c r="O75" s="1">
        <f t="shared" si="22"/>
        <v>0</v>
      </c>
      <c r="P75" s="17">
        <f t="shared" si="18"/>
        <v>799</v>
      </c>
      <c r="Q75" s="3">
        <f t="shared" si="13"/>
        <v>0</v>
      </c>
      <c r="R75" s="3">
        <f t="shared" si="14"/>
        <v>0</v>
      </c>
      <c r="S75" s="19">
        <v>998750</v>
      </c>
      <c r="T75" s="3">
        <f t="shared" si="15"/>
        <v>1250</v>
      </c>
      <c r="U75" s="16"/>
      <c r="V75" s="21"/>
      <c r="AA75" s="3"/>
      <c r="AB75" s="16"/>
      <c r="AD75" s="16"/>
    </row>
    <row r="76" spans="1:30" x14ac:dyDescent="0.25">
      <c r="A76" t="s">
        <v>166</v>
      </c>
      <c r="D76" s="1">
        <v>2582</v>
      </c>
      <c r="G76" s="1">
        <v>2949</v>
      </c>
      <c r="K76" s="1">
        <v>3144</v>
      </c>
      <c r="L76" s="38">
        <f>SUM(K76-G76)/G76*100</f>
        <v>6.6124109867751777</v>
      </c>
      <c r="N76" s="1">
        <f t="shared" si="21"/>
        <v>0</v>
      </c>
      <c r="O76" s="1">
        <f t="shared" si="22"/>
        <v>0</v>
      </c>
      <c r="P76" s="1">
        <f t="shared" si="18"/>
        <v>195</v>
      </c>
      <c r="Q76" s="3">
        <f t="shared" ref="Q76:Q107" si="23">N76*$Q$9</f>
        <v>0</v>
      </c>
      <c r="R76" s="3">
        <f t="shared" ref="R76:R107" si="24">O76*$R$9</f>
        <v>0</v>
      </c>
      <c r="S76" s="41">
        <v>243750</v>
      </c>
      <c r="T76" s="3">
        <f t="shared" ref="T76:T107" si="25">IF(S76&gt;0,S76/P76," ")</f>
        <v>1250</v>
      </c>
      <c r="U76" s="16"/>
      <c r="V76" s="21"/>
      <c r="AA76" s="3"/>
      <c r="AB76" s="16"/>
      <c r="AD76" s="16"/>
    </row>
    <row r="77" spans="1:30" x14ac:dyDescent="0.25">
      <c r="A77" t="s">
        <v>62</v>
      </c>
      <c r="D77" s="1">
        <f>SUM(B77:C77)</f>
        <v>0</v>
      </c>
      <c r="G77" s="1">
        <f>SUM(E77:F77)</f>
        <v>0</v>
      </c>
      <c r="K77" s="1">
        <f>SUM(I77:J77)</f>
        <v>0</v>
      </c>
      <c r="N77" s="1">
        <f t="shared" si="21"/>
        <v>0</v>
      </c>
      <c r="O77" s="1">
        <f t="shared" si="22"/>
        <v>0</v>
      </c>
      <c r="P77" s="1">
        <f t="shared" si="18"/>
        <v>0</v>
      </c>
      <c r="Q77" s="3">
        <f t="shared" si="23"/>
        <v>0</v>
      </c>
      <c r="R77" s="3">
        <f t="shared" si="24"/>
        <v>0</v>
      </c>
      <c r="S77" s="3">
        <f>SUM(Q77:R77)</f>
        <v>0</v>
      </c>
      <c r="T77" s="3" t="str">
        <f t="shared" si="25"/>
        <v xml:space="preserve"> </v>
      </c>
      <c r="U77" s="16"/>
      <c r="V77" s="21"/>
      <c r="AA77" s="3"/>
      <c r="AB77" s="16"/>
      <c r="AD77" s="16"/>
    </row>
    <row r="78" spans="1:30" x14ac:dyDescent="0.25">
      <c r="A78" t="s">
        <v>63</v>
      </c>
      <c r="D78" s="1">
        <f>SUM(B78:C78)</f>
        <v>0</v>
      </c>
      <c r="G78" s="1">
        <f>SUM(E78:F78)</f>
        <v>0</v>
      </c>
      <c r="K78" s="1">
        <f>SUM(I78:J78)</f>
        <v>0</v>
      </c>
      <c r="N78" s="1">
        <f t="shared" si="21"/>
        <v>0</v>
      </c>
      <c r="O78" s="1">
        <f t="shared" si="22"/>
        <v>0</v>
      </c>
      <c r="P78" s="1">
        <f t="shared" si="18"/>
        <v>0</v>
      </c>
      <c r="Q78" s="3">
        <f t="shared" si="23"/>
        <v>0</v>
      </c>
      <c r="R78" s="3">
        <f t="shared" si="24"/>
        <v>0</v>
      </c>
      <c r="S78" s="3">
        <f>SUM(Q78:R78)</f>
        <v>0</v>
      </c>
      <c r="T78" s="3" t="str">
        <f t="shared" si="25"/>
        <v xml:space="preserve"> </v>
      </c>
      <c r="U78" s="16"/>
      <c r="V78" s="21"/>
      <c r="AA78" s="3"/>
      <c r="AB78" s="16"/>
      <c r="AD78" s="16"/>
    </row>
    <row r="79" spans="1:30" x14ac:dyDescent="0.25">
      <c r="A79" t="s">
        <v>64</v>
      </c>
      <c r="D79" s="1">
        <v>10345</v>
      </c>
      <c r="G79" s="1">
        <v>11387</v>
      </c>
      <c r="K79" s="1">
        <v>11979</v>
      </c>
      <c r="L79" s="38">
        <f>SUM(K79-G79)/G79*100</f>
        <v>5.1989110389040132</v>
      </c>
      <c r="N79" s="1">
        <f t="shared" si="21"/>
        <v>0</v>
      </c>
      <c r="O79" s="1">
        <f t="shared" si="22"/>
        <v>0</v>
      </c>
      <c r="P79" s="1">
        <f t="shared" si="18"/>
        <v>592</v>
      </c>
      <c r="Q79" s="3">
        <f t="shared" si="23"/>
        <v>0</v>
      </c>
      <c r="R79" s="3">
        <f t="shared" si="24"/>
        <v>0</v>
      </c>
      <c r="S79" s="25">
        <f>P79*1250</f>
        <v>740000</v>
      </c>
      <c r="T79" s="3">
        <f t="shared" si="25"/>
        <v>1250</v>
      </c>
      <c r="U79" s="16"/>
      <c r="V79" s="21"/>
      <c r="AA79" s="3"/>
      <c r="AB79" s="16"/>
      <c r="AD79" s="16"/>
    </row>
    <row r="80" spans="1:30" x14ac:dyDescent="0.25">
      <c r="A80" s="26" t="s">
        <v>65</v>
      </c>
      <c r="D80" s="1">
        <f>SUM(B80:C80)</f>
        <v>0</v>
      </c>
      <c r="G80" s="1">
        <f>SUM(E80:F80)</f>
        <v>0</v>
      </c>
      <c r="K80" s="1">
        <f>SUM(I80:J80)</f>
        <v>0</v>
      </c>
      <c r="N80" s="1">
        <f t="shared" si="21"/>
        <v>0</v>
      </c>
      <c r="O80" s="1">
        <f t="shared" si="22"/>
        <v>0</v>
      </c>
      <c r="P80" s="1">
        <f t="shared" si="18"/>
        <v>0</v>
      </c>
      <c r="Q80" s="3">
        <f t="shared" si="23"/>
        <v>0</v>
      </c>
      <c r="R80" s="3">
        <f t="shared" si="24"/>
        <v>0</v>
      </c>
      <c r="S80" s="3">
        <f>SUM(Q80:R80)</f>
        <v>0</v>
      </c>
      <c r="T80" s="3" t="str">
        <f t="shared" si="25"/>
        <v xml:space="preserve"> </v>
      </c>
      <c r="U80" s="16"/>
      <c r="V80" s="21"/>
      <c r="AA80" s="3"/>
      <c r="AB80" s="16"/>
      <c r="AD80" s="16"/>
    </row>
    <row r="81" spans="1:30" x14ac:dyDescent="0.25">
      <c r="A81" t="s">
        <v>66</v>
      </c>
      <c r="D81" s="1">
        <f>SUM(B81:C81)</f>
        <v>0</v>
      </c>
      <c r="E81" s="1">
        <v>16960</v>
      </c>
      <c r="F81" s="1">
        <v>10928</v>
      </c>
      <c r="G81" s="1">
        <f>SUM(E81:F81)</f>
        <v>27888</v>
      </c>
      <c r="I81" s="1">
        <v>18014</v>
      </c>
      <c r="J81" s="1">
        <v>11342</v>
      </c>
      <c r="K81" s="1">
        <f>SUM(I81:J81)</f>
        <v>29356</v>
      </c>
      <c r="L81" s="38">
        <f>SUM(K81-G81)/G81*100</f>
        <v>5.2639127940332759</v>
      </c>
      <c r="N81" s="1">
        <f t="shared" si="21"/>
        <v>1054</v>
      </c>
      <c r="O81" s="1">
        <f t="shared" si="22"/>
        <v>414</v>
      </c>
      <c r="P81" s="1">
        <f t="shared" si="18"/>
        <v>1468</v>
      </c>
      <c r="Q81" s="3">
        <f t="shared" si="23"/>
        <v>1417630</v>
      </c>
      <c r="R81" s="3">
        <f t="shared" si="24"/>
        <v>395370</v>
      </c>
      <c r="S81" s="3">
        <f>SUM(Q81:R81)</f>
        <v>1813000</v>
      </c>
      <c r="T81" s="3">
        <f t="shared" si="25"/>
        <v>1235.0136239782016</v>
      </c>
      <c r="U81" s="16"/>
      <c r="V81" s="21"/>
      <c r="AA81" s="3"/>
      <c r="AB81" s="16"/>
      <c r="AD81" s="16"/>
    </row>
    <row r="82" spans="1:30" x14ac:dyDescent="0.25">
      <c r="A82" t="s">
        <v>67</v>
      </c>
      <c r="B82" s="1">
        <v>6932</v>
      </c>
      <c r="C82" s="1">
        <v>4264</v>
      </c>
      <c r="D82" s="1">
        <f>SUM(B82:C82)</f>
        <v>11196</v>
      </c>
      <c r="E82" s="1">
        <v>7714</v>
      </c>
      <c r="F82" s="1">
        <v>5018</v>
      </c>
      <c r="G82" s="1">
        <f>SUM(E82:F82)</f>
        <v>12732</v>
      </c>
      <c r="I82" s="1">
        <v>8359</v>
      </c>
      <c r="J82" s="1">
        <v>5180</v>
      </c>
      <c r="K82" s="1">
        <f>SUM(I82:J82)</f>
        <v>13539</v>
      </c>
      <c r="L82" s="38">
        <f>SUM(K82-G82)/G82*100</f>
        <v>6.3383600377002827</v>
      </c>
      <c r="N82" s="1">
        <f t="shared" si="21"/>
        <v>645</v>
      </c>
      <c r="O82" s="1">
        <f t="shared" si="22"/>
        <v>162</v>
      </c>
      <c r="P82" s="1">
        <f t="shared" si="18"/>
        <v>807</v>
      </c>
      <c r="Q82" s="3">
        <f t="shared" si="23"/>
        <v>867525</v>
      </c>
      <c r="R82" s="3">
        <f t="shared" si="24"/>
        <v>154710</v>
      </c>
      <c r="S82" s="9">
        <f>SUM(Q82:R82)</f>
        <v>1022235</v>
      </c>
      <c r="T82" s="3">
        <f t="shared" si="25"/>
        <v>1266.7100371747213</v>
      </c>
      <c r="U82" s="16"/>
      <c r="V82" s="21"/>
      <c r="AA82" s="3"/>
      <c r="AB82" s="16"/>
      <c r="AD82" s="16"/>
    </row>
    <row r="83" spans="1:30" x14ac:dyDescent="0.25">
      <c r="A83" t="s">
        <v>68</v>
      </c>
      <c r="D83" s="1">
        <v>9308</v>
      </c>
      <c r="G83" s="1">
        <v>11645</v>
      </c>
      <c r="K83" s="1">
        <v>12591</v>
      </c>
      <c r="L83" s="38">
        <f>SUM(K83-G83)/G83*100</f>
        <v>8.1236582224130522</v>
      </c>
      <c r="N83" s="1">
        <f t="shared" si="21"/>
        <v>0</v>
      </c>
      <c r="O83" s="1">
        <f t="shared" si="22"/>
        <v>0</v>
      </c>
      <c r="P83" s="1">
        <f t="shared" si="18"/>
        <v>946</v>
      </c>
      <c r="Q83" s="3">
        <f t="shared" si="23"/>
        <v>0</v>
      </c>
      <c r="R83" s="3">
        <f t="shared" si="24"/>
        <v>0</v>
      </c>
      <c r="S83" s="25">
        <f>P83*1250</f>
        <v>1182500</v>
      </c>
      <c r="T83" s="3">
        <f t="shared" si="25"/>
        <v>1250</v>
      </c>
      <c r="U83" s="16"/>
      <c r="V83" s="21"/>
      <c r="AA83" s="3"/>
      <c r="AB83" s="16"/>
      <c r="AD83" s="16"/>
    </row>
    <row r="84" spans="1:30" x14ac:dyDescent="0.25">
      <c r="A84" t="s">
        <v>69</v>
      </c>
      <c r="D84" s="1">
        <f>SUM(B84:C84)</f>
        <v>0</v>
      </c>
      <c r="G84" s="1">
        <f>SUM(E84:F84)</f>
        <v>0</v>
      </c>
      <c r="K84" s="1">
        <f>SUM(I84:J84)</f>
        <v>0</v>
      </c>
      <c r="N84" s="1">
        <f t="shared" si="21"/>
        <v>0</v>
      </c>
      <c r="O84" s="1">
        <f t="shared" si="22"/>
        <v>0</v>
      </c>
      <c r="P84" s="1">
        <f t="shared" si="18"/>
        <v>0</v>
      </c>
      <c r="Q84" s="3">
        <f t="shared" si="23"/>
        <v>0</v>
      </c>
      <c r="R84" s="3">
        <f t="shared" si="24"/>
        <v>0</v>
      </c>
      <c r="S84" s="3">
        <f>SUM(Q84:R84)</f>
        <v>0</v>
      </c>
      <c r="T84" s="3" t="str">
        <f t="shared" si="25"/>
        <v xml:space="preserve"> </v>
      </c>
      <c r="U84" s="16"/>
      <c r="V84" s="21"/>
      <c r="AA84" s="3"/>
      <c r="AB84" s="16"/>
      <c r="AD84" s="16"/>
    </row>
    <row r="85" spans="1:30" x14ac:dyDescent="0.25">
      <c r="A85" t="s">
        <v>70</v>
      </c>
      <c r="D85" s="1">
        <f>SUM(B85:C85)</f>
        <v>0</v>
      </c>
      <c r="E85" s="1">
        <v>12450</v>
      </c>
      <c r="F85" s="1">
        <v>7476</v>
      </c>
      <c r="G85" s="1">
        <f>SUM(E85:F85)</f>
        <v>19926</v>
      </c>
      <c r="I85" s="1">
        <v>13384</v>
      </c>
      <c r="J85" s="1">
        <v>7724</v>
      </c>
      <c r="K85" s="1">
        <f>SUM(I85:J85)</f>
        <v>21108</v>
      </c>
      <c r="L85" s="38">
        <f>SUM(K85-G85)/G85*100</f>
        <v>5.9319482083709723</v>
      </c>
      <c r="N85" s="1">
        <f t="shared" si="21"/>
        <v>934</v>
      </c>
      <c r="O85" s="1">
        <f t="shared" si="22"/>
        <v>248</v>
      </c>
      <c r="P85" s="1">
        <f t="shared" si="18"/>
        <v>1182</v>
      </c>
      <c r="Q85" s="3">
        <f t="shared" si="23"/>
        <v>1256230</v>
      </c>
      <c r="R85" s="3">
        <f t="shared" si="24"/>
        <v>236840</v>
      </c>
      <c r="S85" s="3">
        <f>SUM(Q85:R85)</f>
        <v>1493070</v>
      </c>
      <c r="T85" s="3">
        <f t="shared" si="25"/>
        <v>1263.1725888324872</v>
      </c>
      <c r="U85" s="16"/>
      <c r="V85" s="21"/>
      <c r="AA85" s="3"/>
      <c r="AB85" s="16"/>
      <c r="AD85" s="16"/>
    </row>
    <row r="86" spans="1:30" x14ac:dyDescent="0.25">
      <c r="A86" t="s">
        <v>71</v>
      </c>
      <c r="D86" s="1">
        <v>19646</v>
      </c>
      <c r="G86" s="1">
        <v>21798</v>
      </c>
      <c r="K86" s="1">
        <v>22978</v>
      </c>
      <c r="L86" s="38">
        <f>SUM(K86-G86)/G86*100</f>
        <v>5.4133406734562799</v>
      </c>
      <c r="N86" s="1">
        <f t="shared" si="21"/>
        <v>0</v>
      </c>
      <c r="O86" s="1">
        <f t="shared" si="22"/>
        <v>0</v>
      </c>
      <c r="P86" s="1">
        <f t="shared" si="18"/>
        <v>1180</v>
      </c>
      <c r="Q86" s="3">
        <f t="shared" si="23"/>
        <v>0</v>
      </c>
      <c r="R86" s="3">
        <f t="shared" si="24"/>
        <v>0</v>
      </c>
      <c r="S86" s="25">
        <f>P86*1250</f>
        <v>1475000</v>
      </c>
      <c r="T86" s="3">
        <f t="shared" si="25"/>
        <v>1250</v>
      </c>
      <c r="U86" s="16"/>
      <c r="V86" s="21"/>
      <c r="AA86" s="3"/>
      <c r="AB86" s="16"/>
      <c r="AD86" s="16"/>
    </row>
    <row r="87" spans="1:30" x14ac:dyDescent="0.25">
      <c r="A87" t="s">
        <v>72</v>
      </c>
      <c r="D87" s="1">
        <f>SUM(B87:C87)</f>
        <v>0</v>
      </c>
      <c r="G87" s="1">
        <f>SUM(E87:F87)</f>
        <v>0</v>
      </c>
      <c r="K87" s="1">
        <f>SUM(I87:J87)</f>
        <v>0</v>
      </c>
      <c r="N87" s="1">
        <f t="shared" si="21"/>
        <v>0</v>
      </c>
      <c r="O87" s="1">
        <f t="shared" si="22"/>
        <v>0</v>
      </c>
      <c r="P87" s="1">
        <f t="shared" si="18"/>
        <v>0</v>
      </c>
      <c r="Q87" s="3">
        <f t="shared" si="23"/>
        <v>0</v>
      </c>
      <c r="R87" s="3">
        <f t="shared" si="24"/>
        <v>0</v>
      </c>
      <c r="S87" s="3">
        <f>SUM(Q87:R87)</f>
        <v>0</v>
      </c>
      <c r="T87" s="3" t="str">
        <f t="shared" si="25"/>
        <v xml:space="preserve"> </v>
      </c>
      <c r="U87" s="16"/>
      <c r="V87" s="21"/>
      <c r="AA87" s="3"/>
      <c r="AB87" s="16"/>
      <c r="AD87" s="16"/>
    </row>
    <row r="88" spans="1:30" x14ac:dyDescent="0.25">
      <c r="A88" s="26" t="s">
        <v>73</v>
      </c>
      <c r="B88" s="27"/>
      <c r="C88" s="27"/>
      <c r="D88" s="27">
        <v>28276</v>
      </c>
      <c r="E88" s="27"/>
      <c r="F88" s="27"/>
      <c r="G88" s="17">
        <v>31950</v>
      </c>
      <c r="H88" s="27"/>
      <c r="I88" s="27"/>
      <c r="J88" s="27"/>
      <c r="K88" s="17">
        <v>33876</v>
      </c>
      <c r="L88" s="38">
        <f>SUM(K88-G88)/G88*100</f>
        <v>6.028169014084507</v>
      </c>
      <c r="M88" s="27"/>
      <c r="N88" s="27">
        <f t="shared" si="21"/>
        <v>0</v>
      </c>
      <c r="O88" s="27">
        <f t="shared" si="22"/>
        <v>0</v>
      </c>
      <c r="P88" s="27">
        <f t="shared" si="18"/>
        <v>1926</v>
      </c>
      <c r="Q88" s="3">
        <f t="shared" si="23"/>
        <v>0</v>
      </c>
      <c r="R88" s="3">
        <f t="shared" si="24"/>
        <v>0</v>
      </c>
      <c r="S88" s="3">
        <f>SUM(Q88:R88)</f>
        <v>0</v>
      </c>
      <c r="T88" s="3" t="str">
        <f t="shared" si="25"/>
        <v xml:space="preserve"> </v>
      </c>
      <c r="U88" s="16"/>
      <c r="V88" s="21"/>
      <c r="AA88" s="3"/>
      <c r="AB88" s="16"/>
      <c r="AD88" s="16"/>
    </row>
    <row r="89" spans="1:30" x14ac:dyDescent="0.25">
      <c r="A89" t="s">
        <v>74</v>
      </c>
      <c r="D89" s="1">
        <f>SUM(B89:C89)</f>
        <v>0</v>
      </c>
      <c r="G89" s="1">
        <f>SUM(E89:F89)</f>
        <v>0</v>
      </c>
      <c r="K89" s="1">
        <f>SUM(I89:J89)</f>
        <v>0</v>
      </c>
      <c r="N89" s="1">
        <f t="shared" si="21"/>
        <v>0</v>
      </c>
      <c r="O89" s="1">
        <f t="shared" si="22"/>
        <v>0</v>
      </c>
      <c r="P89" s="1">
        <f t="shared" si="18"/>
        <v>0</v>
      </c>
      <c r="Q89" s="3">
        <f t="shared" si="23"/>
        <v>0</v>
      </c>
      <c r="R89" s="3">
        <f t="shared" si="24"/>
        <v>0</v>
      </c>
      <c r="S89" s="3">
        <f>SUM(Q89:R89)</f>
        <v>0</v>
      </c>
      <c r="T89" s="3" t="str">
        <f t="shared" si="25"/>
        <v xml:space="preserve"> </v>
      </c>
      <c r="U89" s="16"/>
      <c r="V89" s="21"/>
      <c r="AA89" s="3"/>
      <c r="AB89" s="16"/>
      <c r="AD89" s="16"/>
    </row>
    <row r="90" spans="1:30" x14ac:dyDescent="0.25">
      <c r="A90" t="s">
        <v>75</v>
      </c>
      <c r="D90" s="1">
        <f>SUM(B90:C90)</f>
        <v>0</v>
      </c>
      <c r="G90" s="30">
        <v>5767</v>
      </c>
      <c r="K90" s="1">
        <f>5767+500</f>
        <v>6267</v>
      </c>
      <c r="L90" s="38">
        <f>SUM(K90-G90)/G90*100</f>
        <v>8.6700190740419618</v>
      </c>
      <c r="N90" s="1">
        <v>350</v>
      </c>
      <c r="O90" s="1">
        <v>150</v>
      </c>
      <c r="P90" s="1">
        <v>500</v>
      </c>
      <c r="Q90" s="3">
        <f t="shared" si="23"/>
        <v>470750</v>
      </c>
      <c r="R90" s="3">
        <f t="shared" si="24"/>
        <v>143250</v>
      </c>
      <c r="S90" s="9">
        <f>SUM(Q90:R90)</f>
        <v>614000</v>
      </c>
      <c r="T90" s="3">
        <f t="shared" si="25"/>
        <v>1228</v>
      </c>
      <c r="U90" s="16"/>
      <c r="V90" s="21"/>
      <c r="AA90" s="3"/>
      <c r="AB90" s="16"/>
      <c r="AD90" s="16"/>
    </row>
    <row r="91" spans="1:30" x14ac:dyDescent="0.25">
      <c r="A91" t="s">
        <v>76</v>
      </c>
      <c r="D91" s="1">
        <f>SUM(B91:C91)</f>
        <v>0</v>
      </c>
      <c r="G91" s="1">
        <f>SUM(E91:F91)</f>
        <v>0</v>
      </c>
      <c r="K91" s="1">
        <f>SUM(I91:J91)</f>
        <v>0</v>
      </c>
      <c r="N91" s="1">
        <f t="shared" ref="N91:P92" si="26">I91-E91</f>
        <v>0</v>
      </c>
      <c r="O91" s="1">
        <f t="shared" si="26"/>
        <v>0</v>
      </c>
      <c r="P91" s="1">
        <f t="shared" si="26"/>
        <v>0</v>
      </c>
      <c r="Q91" s="3">
        <f t="shared" si="23"/>
        <v>0</v>
      </c>
      <c r="R91" s="3">
        <f t="shared" si="24"/>
        <v>0</v>
      </c>
      <c r="S91" s="3">
        <f>SUM(Q91:R91)</f>
        <v>0</v>
      </c>
      <c r="T91" s="3" t="str">
        <f t="shared" si="25"/>
        <v xml:space="preserve"> </v>
      </c>
      <c r="U91" s="16"/>
      <c r="V91" s="21"/>
      <c r="AA91" s="3"/>
      <c r="AB91" s="16"/>
      <c r="AD91" s="16"/>
    </row>
    <row r="92" spans="1:30" x14ac:dyDescent="0.25">
      <c r="A92" t="s">
        <v>77</v>
      </c>
      <c r="D92" s="1">
        <f>SUM(B92:C92)</f>
        <v>0</v>
      </c>
      <c r="G92" s="17">
        <v>8359</v>
      </c>
      <c r="K92" s="17">
        <v>9037</v>
      </c>
      <c r="L92" s="38">
        <f>SUM(K92-G92)/G92*100</f>
        <v>8.1110180643617671</v>
      </c>
      <c r="N92" s="1">
        <f t="shared" si="26"/>
        <v>0</v>
      </c>
      <c r="O92" s="1">
        <f t="shared" si="26"/>
        <v>0</v>
      </c>
      <c r="P92" s="17">
        <f t="shared" si="26"/>
        <v>678</v>
      </c>
      <c r="Q92" s="3">
        <f t="shared" si="23"/>
        <v>0</v>
      </c>
      <c r="R92" s="3">
        <f t="shared" si="24"/>
        <v>0</v>
      </c>
      <c r="S92" s="19">
        <v>847500</v>
      </c>
      <c r="T92" s="3">
        <f t="shared" si="25"/>
        <v>1250</v>
      </c>
      <c r="U92" s="16"/>
      <c r="V92" s="21"/>
      <c r="Y92" s="20"/>
      <c r="AA92" s="3"/>
      <c r="AB92" s="16"/>
      <c r="AD92" s="16"/>
    </row>
    <row r="93" spans="1:30" x14ac:dyDescent="0.25">
      <c r="A93" t="s">
        <v>78</v>
      </c>
      <c r="D93" s="1">
        <f>SUM(B93:C93)</f>
        <v>0</v>
      </c>
      <c r="G93" s="31">
        <v>14467</v>
      </c>
      <c r="K93" s="31">
        <f>14467+621</f>
        <v>15088</v>
      </c>
      <c r="L93" s="38">
        <f>SUM(K93-G93)/G93*100</f>
        <v>4.2925278219395864</v>
      </c>
      <c r="N93" s="1">
        <v>424</v>
      </c>
      <c r="O93" s="1">
        <v>217</v>
      </c>
      <c r="P93" s="1">
        <v>621</v>
      </c>
      <c r="Q93" s="3">
        <f t="shared" si="23"/>
        <v>570280</v>
      </c>
      <c r="R93" s="3">
        <f t="shared" si="24"/>
        <v>207235</v>
      </c>
      <c r="S93" s="3">
        <f>SUM(Q93:R93)</f>
        <v>777515</v>
      </c>
      <c r="T93" s="3">
        <f t="shared" si="25"/>
        <v>1252.037037037037</v>
      </c>
      <c r="U93" s="16"/>
      <c r="V93" s="21"/>
      <c r="AA93" s="3"/>
      <c r="AB93" s="16"/>
      <c r="AD93" s="16"/>
    </row>
    <row r="94" spans="1:30" x14ac:dyDescent="0.25">
      <c r="A94" t="s">
        <v>79</v>
      </c>
      <c r="D94" s="1">
        <v>12659</v>
      </c>
      <c r="G94" s="1">
        <v>15875</v>
      </c>
      <c r="K94" s="1">
        <v>17352</v>
      </c>
      <c r="L94" s="38">
        <f>SUM(K94-G94)/G94*100</f>
        <v>9.3039370078740156</v>
      </c>
      <c r="N94" s="1">
        <f t="shared" ref="N94:P97" si="27">I94-E94</f>
        <v>0</v>
      </c>
      <c r="O94" s="1">
        <f t="shared" si="27"/>
        <v>0</v>
      </c>
      <c r="P94" s="1">
        <f t="shared" si="27"/>
        <v>1477</v>
      </c>
      <c r="Q94" s="3">
        <f t="shared" si="23"/>
        <v>0</v>
      </c>
      <c r="R94" s="3">
        <f t="shared" si="24"/>
        <v>0</v>
      </c>
      <c r="S94" s="25">
        <f>P94*1250</f>
        <v>1846250</v>
      </c>
      <c r="T94" s="3">
        <f t="shared" si="25"/>
        <v>1250</v>
      </c>
      <c r="U94" s="16"/>
      <c r="V94" s="21"/>
      <c r="AA94" s="3"/>
      <c r="AB94" s="16"/>
      <c r="AD94" s="16"/>
    </row>
    <row r="95" spans="1:30" x14ac:dyDescent="0.25">
      <c r="A95" t="s">
        <v>161</v>
      </c>
      <c r="D95" s="1">
        <v>18849</v>
      </c>
      <c r="G95" s="1">
        <v>21325</v>
      </c>
      <c r="K95" s="1">
        <v>22716</v>
      </c>
      <c r="L95" s="38">
        <f>SUM(K95-G95)/G95*100</f>
        <v>6.5228604923798352</v>
      </c>
      <c r="N95" s="1">
        <f t="shared" si="27"/>
        <v>0</v>
      </c>
      <c r="O95" s="1">
        <f t="shared" si="27"/>
        <v>0</v>
      </c>
      <c r="P95" s="1">
        <f t="shared" si="27"/>
        <v>1391</v>
      </c>
      <c r="Q95" s="3">
        <f t="shared" si="23"/>
        <v>0</v>
      </c>
      <c r="R95" s="3">
        <f t="shared" si="24"/>
        <v>0</v>
      </c>
      <c r="S95" s="25">
        <f>P95*1250</f>
        <v>1738750</v>
      </c>
      <c r="T95" s="3">
        <f t="shared" si="25"/>
        <v>1250</v>
      </c>
      <c r="U95" s="16"/>
      <c r="V95" s="21"/>
      <c r="AA95" s="3"/>
      <c r="AB95" s="16"/>
      <c r="AD95" s="16"/>
    </row>
    <row r="96" spans="1:30" x14ac:dyDescent="0.25">
      <c r="A96" t="s">
        <v>81</v>
      </c>
      <c r="D96" s="1">
        <f>SUM(B96:C96)</f>
        <v>0</v>
      </c>
      <c r="G96" s="1">
        <f>SUM(E96:F96)</f>
        <v>0</v>
      </c>
      <c r="K96" s="1">
        <f>SUM(I96:J96)</f>
        <v>0</v>
      </c>
      <c r="N96" s="1">
        <f t="shared" si="27"/>
        <v>0</v>
      </c>
      <c r="O96" s="1">
        <f t="shared" si="27"/>
        <v>0</v>
      </c>
      <c r="P96" s="1">
        <f t="shared" si="27"/>
        <v>0</v>
      </c>
      <c r="Q96" s="3">
        <f t="shared" si="23"/>
        <v>0</v>
      </c>
      <c r="R96" s="3">
        <f t="shared" si="24"/>
        <v>0</v>
      </c>
      <c r="S96" s="3">
        <f>SUM(Q96:R96)</f>
        <v>0</v>
      </c>
      <c r="T96" s="3" t="str">
        <f t="shared" si="25"/>
        <v xml:space="preserve"> </v>
      </c>
      <c r="U96" s="16"/>
      <c r="V96" s="21"/>
      <c r="AA96" s="3"/>
      <c r="AB96" s="16"/>
      <c r="AD96" s="16"/>
    </row>
    <row r="97" spans="1:30" x14ac:dyDescent="0.25">
      <c r="A97" t="s">
        <v>82</v>
      </c>
      <c r="D97" s="1">
        <f>SUM(B97:C97)</f>
        <v>0</v>
      </c>
      <c r="G97" s="1">
        <f>SUM(E97:F97)</f>
        <v>0</v>
      </c>
      <c r="K97" s="1">
        <f>SUM(I97:J97)</f>
        <v>0</v>
      </c>
      <c r="N97" s="1">
        <f t="shared" si="27"/>
        <v>0</v>
      </c>
      <c r="O97" s="1">
        <f t="shared" si="27"/>
        <v>0</v>
      </c>
      <c r="P97" s="1">
        <f t="shared" si="27"/>
        <v>0</v>
      </c>
      <c r="Q97" s="3">
        <f t="shared" si="23"/>
        <v>0</v>
      </c>
      <c r="R97" s="3">
        <f t="shared" si="24"/>
        <v>0</v>
      </c>
      <c r="S97" s="3">
        <f>SUM(Q97:R97)</f>
        <v>0</v>
      </c>
      <c r="T97" s="3" t="str">
        <f t="shared" si="25"/>
        <v xml:space="preserve"> </v>
      </c>
      <c r="U97" s="16"/>
      <c r="V97" s="21"/>
      <c r="AA97" s="3"/>
      <c r="AB97" s="16"/>
      <c r="AD97" s="16"/>
    </row>
    <row r="98" spans="1:30" x14ac:dyDescent="0.25">
      <c r="A98" t="s">
        <v>83</v>
      </c>
      <c r="D98" s="1">
        <f>SUM(B98:C98)</f>
        <v>0</v>
      </c>
      <c r="G98" s="17">
        <v>3990</v>
      </c>
      <c r="K98" s="17">
        <v>4214</v>
      </c>
      <c r="L98" s="38">
        <f>SUM(K98-G98)/G98*100</f>
        <v>5.6140350877192979</v>
      </c>
      <c r="N98" s="1">
        <f>I98-E98</f>
        <v>0</v>
      </c>
      <c r="O98" s="1">
        <f>J98-F98</f>
        <v>0</v>
      </c>
      <c r="P98" s="18">
        <v>224</v>
      </c>
      <c r="Q98" s="3">
        <f t="shared" si="23"/>
        <v>0</v>
      </c>
      <c r="R98" s="3">
        <f t="shared" si="24"/>
        <v>0</v>
      </c>
      <c r="S98" s="19">
        <f>P98*1250</f>
        <v>280000</v>
      </c>
      <c r="T98" s="3">
        <f t="shared" si="25"/>
        <v>1250</v>
      </c>
      <c r="U98" s="16"/>
      <c r="V98" s="21"/>
      <c r="AA98" s="3"/>
      <c r="AB98" s="16"/>
      <c r="AD98" s="16"/>
    </row>
    <row r="99" spans="1:30" x14ac:dyDescent="0.25">
      <c r="A99" t="s">
        <v>84</v>
      </c>
      <c r="D99" s="1">
        <f>SUM(B99:C99)</f>
        <v>0</v>
      </c>
      <c r="G99" s="1">
        <f>SUM(E99:F99)</f>
        <v>0</v>
      </c>
      <c r="K99" s="1">
        <f>SUM(I99:J99)</f>
        <v>0</v>
      </c>
      <c r="N99" s="1">
        <f>I99-E99</f>
        <v>0</v>
      </c>
      <c r="O99" s="1">
        <f>J99-F99</f>
        <v>0</v>
      </c>
      <c r="P99" s="1">
        <f>K99-G99</f>
        <v>0</v>
      </c>
      <c r="Q99" s="3">
        <f t="shared" si="23"/>
        <v>0</v>
      </c>
      <c r="R99" s="3">
        <f t="shared" si="24"/>
        <v>0</v>
      </c>
      <c r="S99" s="3">
        <f>SUM(Q99:R99)</f>
        <v>0</v>
      </c>
      <c r="T99" s="3" t="str">
        <f t="shared" si="25"/>
        <v xml:space="preserve"> </v>
      </c>
      <c r="U99" s="16"/>
      <c r="V99" s="21"/>
      <c r="AA99" s="3"/>
      <c r="AB99" s="16"/>
      <c r="AD99" s="16"/>
    </row>
    <row r="100" spans="1:30" x14ac:dyDescent="0.25">
      <c r="A100" t="s">
        <v>86</v>
      </c>
      <c r="D100" s="1">
        <v>9432</v>
      </c>
      <c r="G100" s="1">
        <v>10789</v>
      </c>
      <c r="K100" s="1">
        <v>11591</v>
      </c>
      <c r="L100" s="38">
        <f>SUM(K100-G100)/G100*100</f>
        <v>7.4334970803596256</v>
      </c>
      <c r="N100" s="1">
        <v>528</v>
      </c>
      <c r="O100" s="1">
        <v>159</v>
      </c>
      <c r="P100" s="1">
        <f>K100-G100</f>
        <v>802</v>
      </c>
      <c r="Q100" s="3">
        <f t="shared" si="23"/>
        <v>710160</v>
      </c>
      <c r="R100" s="3">
        <f t="shared" si="24"/>
        <v>151845</v>
      </c>
      <c r="S100" s="3">
        <f>SUM(Q100:R100)</f>
        <v>862005</v>
      </c>
      <c r="T100" s="3">
        <f t="shared" si="25"/>
        <v>1074.8192019950125</v>
      </c>
      <c r="U100" s="16"/>
      <c r="V100" s="21"/>
      <c r="AA100" s="3"/>
      <c r="AB100" s="16"/>
      <c r="AD100" s="16"/>
    </row>
    <row r="101" spans="1:30" x14ac:dyDescent="0.25">
      <c r="A101" t="s">
        <v>80</v>
      </c>
      <c r="D101" s="1">
        <v>14351</v>
      </c>
      <c r="G101" s="1">
        <v>16656</v>
      </c>
      <c r="K101" s="1">
        <v>17901</v>
      </c>
      <c r="L101" s="38">
        <f>SUM(K101-G101)/G101*100</f>
        <v>7.4747838616714706</v>
      </c>
      <c r="N101" s="1">
        <f t="shared" ref="N101:N120" si="28">I101-E101</f>
        <v>0</v>
      </c>
      <c r="O101" s="1">
        <f t="shared" ref="O101:O120" si="29">J101-F101</f>
        <v>0</v>
      </c>
      <c r="P101" s="1">
        <f>K101-G101</f>
        <v>1245</v>
      </c>
      <c r="Q101" s="3">
        <f t="shared" si="23"/>
        <v>0</v>
      </c>
      <c r="R101" s="3">
        <f t="shared" si="24"/>
        <v>0</v>
      </c>
      <c r="S101" s="25">
        <f>P101*1250</f>
        <v>1556250</v>
      </c>
      <c r="T101" s="3">
        <f t="shared" si="25"/>
        <v>1250</v>
      </c>
      <c r="U101" s="16"/>
      <c r="V101" s="21"/>
      <c r="AA101" s="3"/>
      <c r="AB101" s="16"/>
      <c r="AD101" s="16"/>
    </row>
    <row r="102" spans="1:30" x14ac:dyDescent="0.25">
      <c r="A102" t="s">
        <v>85</v>
      </c>
      <c r="D102" s="1">
        <f>SUM(B102:C102)</f>
        <v>0</v>
      </c>
      <c r="G102" s="17">
        <v>7033</v>
      </c>
      <c r="K102" s="17">
        <v>9048</v>
      </c>
      <c r="L102" s="38">
        <f>SUM(K102-G102)/G102*100</f>
        <v>28.650646950092423</v>
      </c>
      <c r="N102" s="1">
        <f t="shared" si="28"/>
        <v>0</v>
      </c>
      <c r="O102" s="1">
        <f t="shared" si="29"/>
        <v>0</v>
      </c>
      <c r="P102" s="18">
        <v>2015</v>
      </c>
      <c r="Q102" s="3">
        <f t="shared" si="23"/>
        <v>0</v>
      </c>
      <c r="R102" s="3">
        <f t="shared" si="24"/>
        <v>0</v>
      </c>
      <c r="S102" s="19">
        <f>P102*1250</f>
        <v>2518750</v>
      </c>
      <c r="T102" s="3">
        <f t="shared" si="25"/>
        <v>1250</v>
      </c>
      <c r="U102" s="16"/>
      <c r="V102" s="21"/>
      <c r="AA102" s="3"/>
      <c r="AB102" s="16"/>
      <c r="AD102" s="16"/>
    </row>
    <row r="103" spans="1:30" x14ac:dyDescent="0.25">
      <c r="A103" t="s">
        <v>87</v>
      </c>
      <c r="D103" s="1">
        <f>SUM(B103:C103)</f>
        <v>0</v>
      </c>
      <c r="G103" s="1">
        <f>SUM(E103:F103)</f>
        <v>0</v>
      </c>
      <c r="K103" s="1">
        <f>SUM(I103:J103)</f>
        <v>0</v>
      </c>
      <c r="N103" s="1">
        <f t="shared" si="28"/>
        <v>0</v>
      </c>
      <c r="O103" s="1">
        <f t="shared" si="29"/>
        <v>0</v>
      </c>
      <c r="P103" s="1">
        <f>K103-G103</f>
        <v>0</v>
      </c>
      <c r="Q103" s="3">
        <f t="shared" si="23"/>
        <v>0</v>
      </c>
      <c r="R103" s="3">
        <f t="shared" si="24"/>
        <v>0</v>
      </c>
      <c r="S103" s="3">
        <f>SUM(Q103:R103)</f>
        <v>0</v>
      </c>
      <c r="T103" s="3" t="str">
        <f t="shared" si="25"/>
        <v xml:space="preserve"> </v>
      </c>
      <c r="U103" s="16"/>
      <c r="V103" s="21"/>
      <c r="AA103" s="3"/>
      <c r="AB103" s="16"/>
      <c r="AD103" s="16"/>
    </row>
    <row r="104" spans="1:30" x14ac:dyDescent="0.25">
      <c r="A104" t="s">
        <v>88</v>
      </c>
      <c r="D104" s="1">
        <v>17585</v>
      </c>
      <c r="G104" s="1">
        <v>20379</v>
      </c>
      <c r="K104" s="1">
        <v>21584</v>
      </c>
      <c r="L104" s="38">
        <f>SUM(K104-G104)/G104*100</f>
        <v>5.9129496049855241</v>
      </c>
      <c r="N104" s="1">
        <f t="shared" si="28"/>
        <v>0</v>
      </c>
      <c r="O104" s="1">
        <f t="shared" si="29"/>
        <v>0</v>
      </c>
      <c r="P104" s="1">
        <f>K104-G104</f>
        <v>1205</v>
      </c>
      <c r="Q104" s="3">
        <f t="shared" si="23"/>
        <v>0</v>
      </c>
      <c r="R104" s="3">
        <f t="shared" si="24"/>
        <v>0</v>
      </c>
      <c r="S104" s="25">
        <f>P104*1250</f>
        <v>1506250</v>
      </c>
      <c r="T104" s="3">
        <f t="shared" si="25"/>
        <v>1250</v>
      </c>
      <c r="U104" s="16"/>
      <c r="V104" s="21"/>
      <c r="AA104" s="3"/>
      <c r="AB104" s="16"/>
      <c r="AD104" s="16"/>
    </row>
    <row r="105" spans="1:30" x14ac:dyDescent="0.25">
      <c r="A105" t="s">
        <v>89</v>
      </c>
      <c r="D105" s="1">
        <f>SUM(B105:C105)</f>
        <v>0</v>
      </c>
      <c r="G105" s="1">
        <f>SUM(E105:F105)</f>
        <v>0</v>
      </c>
      <c r="K105" s="1">
        <f>SUM(I105:J105)</f>
        <v>0</v>
      </c>
      <c r="N105" s="1">
        <f t="shared" si="28"/>
        <v>0</v>
      </c>
      <c r="O105" s="1">
        <f t="shared" si="29"/>
        <v>0</v>
      </c>
      <c r="P105" s="1">
        <f>K105-G105</f>
        <v>0</v>
      </c>
      <c r="Q105" s="3">
        <f t="shared" si="23"/>
        <v>0</v>
      </c>
      <c r="R105" s="3">
        <f t="shared" si="24"/>
        <v>0</v>
      </c>
      <c r="S105" s="3">
        <f>SUM(Q105:R105)</f>
        <v>0</v>
      </c>
      <c r="T105" s="3" t="str">
        <f t="shared" si="25"/>
        <v xml:space="preserve"> </v>
      </c>
      <c r="U105" s="16"/>
      <c r="V105" s="21"/>
      <c r="AA105" s="3"/>
      <c r="AB105" s="16"/>
      <c r="AD105" s="16"/>
    </row>
    <row r="106" spans="1:30" x14ac:dyDescent="0.25">
      <c r="A106" t="s">
        <v>90</v>
      </c>
      <c r="D106" s="1">
        <v>10128</v>
      </c>
      <c r="G106" s="1">
        <v>11595</v>
      </c>
      <c r="K106" s="31">
        <f>G106+(2000000/1345)</f>
        <v>13081.988847583643</v>
      </c>
      <c r="L106" s="38">
        <f>SUM(K106-G106)/G106*100</f>
        <v>12.824397133106022</v>
      </c>
      <c r="N106" s="1">
        <f t="shared" si="28"/>
        <v>0</v>
      </c>
      <c r="O106" s="1">
        <f t="shared" si="29"/>
        <v>0</v>
      </c>
      <c r="P106" s="31">
        <f>K106-G106</f>
        <v>1486.9888475836433</v>
      </c>
      <c r="Q106" s="3">
        <f t="shared" si="23"/>
        <v>0</v>
      </c>
      <c r="R106" s="3">
        <f t="shared" si="24"/>
        <v>0</v>
      </c>
      <c r="S106" s="29">
        <v>2000000</v>
      </c>
      <c r="T106" s="3">
        <f t="shared" si="25"/>
        <v>1344.9999999999998</v>
      </c>
      <c r="U106" s="16"/>
      <c r="V106" s="21"/>
      <c r="AA106" s="3"/>
      <c r="AB106" s="16"/>
      <c r="AD106" s="16"/>
    </row>
    <row r="107" spans="1:30" x14ac:dyDescent="0.25">
      <c r="A107" t="s">
        <v>91</v>
      </c>
      <c r="D107" s="1">
        <f>SUM(B107:C107)</f>
        <v>0</v>
      </c>
      <c r="G107" s="17">
        <v>3147</v>
      </c>
      <c r="K107" s="17">
        <v>3626</v>
      </c>
      <c r="L107" s="38">
        <f>SUM(K107-G107)/G107*100</f>
        <v>15.220845249443915</v>
      </c>
      <c r="N107" s="1">
        <f t="shared" si="28"/>
        <v>0</v>
      </c>
      <c r="O107" s="1">
        <f t="shared" si="29"/>
        <v>0</v>
      </c>
      <c r="P107" s="18">
        <v>479</v>
      </c>
      <c r="Q107" s="3">
        <f t="shared" si="23"/>
        <v>0</v>
      </c>
      <c r="R107" s="3">
        <f t="shared" si="24"/>
        <v>0</v>
      </c>
      <c r="S107" s="19">
        <f>P107*1250</f>
        <v>598750</v>
      </c>
      <c r="T107" s="3">
        <f t="shared" si="25"/>
        <v>1250</v>
      </c>
      <c r="U107" s="16"/>
      <c r="V107" s="21"/>
      <c r="AA107" s="3"/>
      <c r="AB107" s="16"/>
      <c r="AD107" s="16"/>
    </row>
    <row r="108" spans="1:30" x14ac:dyDescent="0.25">
      <c r="A108" t="s">
        <v>92</v>
      </c>
      <c r="D108" s="1">
        <f>SUM(B108:C108)</f>
        <v>0</v>
      </c>
      <c r="G108" s="1">
        <f>SUM(E108:F108)</f>
        <v>0</v>
      </c>
      <c r="K108" s="1">
        <f>SUM(I108:J108)</f>
        <v>0</v>
      </c>
      <c r="N108" s="1">
        <f t="shared" si="28"/>
        <v>0</v>
      </c>
      <c r="O108" s="1">
        <f t="shared" si="29"/>
        <v>0</v>
      </c>
      <c r="P108" s="1">
        <f t="shared" ref="P108:P116" si="30">K108-G108</f>
        <v>0</v>
      </c>
      <c r="Q108" s="3">
        <f t="shared" ref="Q108:Q139" si="31">N108*$Q$9</f>
        <v>0</v>
      </c>
      <c r="R108" s="3">
        <f t="shared" ref="R108:R139" si="32">O108*$R$9</f>
        <v>0</v>
      </c>
      <c r="S108" s="3">
        <f>SUM(Q108:R108)</f>
        <v>0</v>
      </c>
      <c r="T108" s="3" t="str">
        <f t="shared" ref="T108:T139" si="33">IF(S108&gt;0,S108/P108," ")</f>
        <v xml:space="preserve"> </v>
      </c>
      <c r="U108" s="16"/>
      <c r="V108" s="21"/>
      <c r="AA108" s="3"/>
      <c r="AB108" s="16"/>
      <c r="AD108" s="16"/>
    </row>
    <row r="109" spans="1:30" x14ac:dyDescent="0.25">
      <c r="A109" t="s">
        <v>93</v>
      </c>
      <c r="D109" s="1">
        <f>SUM(B109:C109)</f>
        <v>0</v>
      </c>
      <c r="G109" s="1">
        <f>SUM(E109:F109)</f>
        <v>0</v>
      </c>
      <c r="K109" s="1">
        <f>SUM(I109:J109)</f>
        <v>0</v>
      </c>
      <c r="N109" s="1">
        <f t="shared" si="28"/>
        <v>0</v>
      </c>
      <c r="O109" s="1">
        <f t="shared" si="29"/>
        <v>0</v>
      </c>
      <c r="P109" s="1">
        <f t="shared" si="30"/>
        <v>0</v>
      </c>
      <c r="Q109" s="3">
        <f t="shared" si="31"/>
        <v>0</v>
      </c>
      <c r="R109" s="3">
        <f t="shared" si="32"/>
        <v>0</v>
      </c>
      <c r="S109" s="3">
        <f>SUM(Q109:R109)</f>
        <v>0</v>
      </c>
      <c r="T109" s="3" t="str">
        <f t="shared" si="33"/>
        <v xml:space="preserve"> </v>
      </c>
      <c r="U109" s="16"/>
      <c r="V109" s="21"/>
      <c r="AA109" s="3"/>
      <c r="AB109" s="16"/>
      <c r="AD109" s="16"/>
    </row>
    <row r="110" spans="1:30" x14ac:dyDescent="0.25">
      <c r="A110" t="s">
        <v>94</v>
      </c>
      <c r="D110" s="1">
        <v>3701</v>
      </c>
      <c r="G110" s="1">
        <v>4220</v>
      </c>
      <c r="K110" s="1">
        <v>4495</v>
      </c>
      <c r="L110" s="38">
        <f>SUM(K110-G110)/G110*100</f>
        <v>6.516587677725119</v>
      </c>
      <c r="N110" s="1">
        <f t="shared" si="28"/>
        <v>0</v>
      </c>
      <c r="O110" s="1">
        <f t="shared" si="29"/>
        <v>0</v>
      </c>
      <c r="P110" s="1">
        <f t="shared" si="30"/>
        <v>275</v>
      </c>
      <c r="Q110" s="3">
        <f t="shared" si="31"/>
        <v>0</v>
      </c>
      <c r="R110" s="3">
        <f t="shared" si="32"/>
        <v>0</v>
      </c>
      <c r="S110" s="37">
        <v>343750</v>
      </c>
      <c r="T110" s="3">
        <f t="shared" si="33"/>
        <v>1250</v>
      </c>
      <c r="U110" s="16"/>
      <c r="V110" s="21"/>
      <c r="AA110" s="3"/>
      <c r="AB110" s="16"/>
      <c r="AD110" s="16"/>
    </row>
    <row r="111" spans="1:30" x14ac:dyDescent="0.25">
      <c r="A111" t="s">
        <v>95</v>
      </c>
      <c r="D111" s="1">
        <v>6802</v>
      </c>
      <c r="G111" s="1">
        <v>7062</v>
      </c>
      <c r="K111" s="1">
        <v>7752</v>
      </c>
      <c r="L111" s="38">
        <f>SUM(K111-G111)/G111*100</f>
        <v>9.770603228547154</v>
      </c>
      <c r="N111" s="1">
        <f t="shared" si="28"/>
        <v>0</v>
      </c>
      <c r="O111" s="1">
        <f t="shared" si="29"/>
        <v>0</v>
      </c>
      <c r="P111" s="1">
        <f t="shared" si="30"/>
        <v>690</v>
      </c>
      <c r="Q111" s="3">
        <f t="shared" si="31"/>
        <v>0</v>
      </c>
      <c r="R111" s="3">
        <f t="shared" si="32"/>
        <v>0</v>
      </c>
      <c r="S111" s="25">
        <f>P111*1250</f>
        <v>862500</v>
      </c>
      <c r="T111" s="3">
        <f t="shared" si="33"/>
        <v>1250</v>
      </c>
      <c r="U111" s="16"/>
      <c r="V111" s="21"/>
      <c r="AA111" s="3"/>
      <c r="AB111" s="16"/>
      <c r="AD111" s="16"/>
    </row>
    <row r="112" spans="1:30" x14ac:dyDescent="0.25">
      <c r="A112" t="s">
        <v>96</v>
      </c>
      <c r="D112" s="1">
        <f>SUM(B112:C112)</f>
        <v>0</v>
      </c>
      <c r="G112" s="1">
        <f>SUM(E112:F112)</f>
        <v>0</v>
      </c>
      <c r="K112" s="1">
        <f>SUM(I112:J112)</f>
        <v>0</v>
      </c>
      <c r="N112" s="1">
        <f t="shared" si="28"/>
        <v>0</v>
      </c>
      <c r="O112" s="1">
        <f t="shared" si="29"/>
        <v>0</v>
      </c>
      <c r="P112" s="1">
        <f t="shared" si="30"/>
        <v>0</v>
      </c>
      <c r="Q112" s="3">
        <f t="shared" si="31"/>
        <v>0</v>
      </c>
      <c r="R112" s="3">
        <f t="shared" si="32"/>
        <v>0</v>
      </c>
      <c r="S112" s="3">
        <f>SUM(Q112:R112)</f>
        <v>0</v>
      </c>
      <c r="T112" s="3" t="str">
        <f t="shared" si="33"/>
        <v xml:space="preserve"> </v>
      </c>
      <c r="U112" s="16"/>
      <c r="V112" s="21"/>
      <c r="AA112" s="3"/>
      <c r="AB112" s="16"/>
      <c r="AD112" s="16"/>
    </row>
    <row r="113" spans="1:30" x14ac:dyDescent="0.25">
      <c r="A113" t="s">
        <v>167</v>
      </c>
      <c r="D113" s="1">
        <v>2729</v>
      </c>
      <c r="G113" s="1">
        <v>3000</v>
      </c>
      <c r="K113" s="1">
        <v>3196</v>
      </c>
      <c r="L113" s="38">
        <f>SUM(K113-G113)/G113*100</f>
        <v>6.5333333333333323</v>
      </c>
      <c r="N113" s="1">
        <f t="shared" si="28"/>
        <v>0</v>
      </c>
      <c r="O113" s="1">
        <f t="shared" si="29"/>
        <v>0</v>
      </c>
      <c r="P113" s="1">
        <f t="shared" si="30"/>
        <v>196</v>
      </c>
      <c r="Q113" s="3">
        <f t="shared" si="31"/>
        <v>0</v>
      </c>
      <c r="R113" s="3">
        <f t="shared" si="32"/>
        <v>0</v>
      </c>
      <c r="S113" s="37">
        <v>245000</v>
      </c>
      <c r="T113" s="3">
        <f t="shared" si="33"/>
        <v>1250</v>
      </c>
      <c r="U113" s="16"/>
      <c r="V113" s="21"/>
      <c r="AA113" s="3"/>
      <c r="AB113" s="16"/>
      <c r="AD113" s="16"/>
    </row>
    <row r="114" spans="1:30" x14ac:dyDescent="0.25">
      <c r="A114" t="s">
        <v>97</v>
      </c>
      <c r="D114" s="1">
        <f>6527+2275</f>
        <v>8802</v>
      </c>
      <c r="G114" s="1">
        <f>7023+2275</f>
        <v>9298</v>
      </c>
      <c r="K114" s="1">
        <f>7599+2414</f>
        <v>10013</v>
      </c>
      <c r="L114" s="38">
        <f>SUM(K114-G114)/G114*100</f>
        <v>7.6898257689825762</v>
      </c>
      <c r="N114" s="1">
        <f t="shared" si="28"/>
        <v>0</v>
      </c>
      <c r="O114" s="1">
        <f t="shared" si="29"/>
        <v>0</v>
      </c>
      <c r="P114" s="1">
        <f t="shared" si="30"/>
        <v>715</v>
      </c>
      <c r="Q114" s="3">
        <f t="shared" si="31"/>
        <v>0</v>
      </c>
      <c r="R114" s="3">
        <f t="shared" si="32"/>
        <v>0</v>
      </c>
      <c r="S114" s="25">
        <f>P114*1250</f>
        <v>893750</v>
      </c>
      <c r="T114" s="3">
        <f t="shared" si="33"/>
        <v>1250</v>
      </c>
      <c r="U114" s="16"/>
      <c r="V114" s="21"/>
      <c r="AA114" s="3"/>
      <c r="AB114" s="16"/>
      <c r="AD114" s="16"/>
    </row>
    <row r="115" spans="1:30" x14ac:dyDescent="0.25">
      <c r="A115" t="s">
        <v>98</v>
      </c>
      <c r="D115" s="1">
        <f>SUM(B115:C115)</f>
        <v>0</v>
      </c>
      <c r="G115" s="1">
        <f>SUM(E115:F115)</f>
        <v>0</v>
      </c>
      <c r="K115" s="1">
        <f>SUM(I115:J115)</f>
        <v>0</v>
      </c>
      <c r="N115" s="1">
        <f t="shared" si="28"/>
        <v>0</v>
      </c>
      <c r="O115" s="1">
        <f t="shared" si="29"/>
        <v>0</v>
      </c>
      <c r="P115" s="1">
        <f t="shared" si="30"/>
        <v>0</v>
      </c>
      <c r="Q115" s="3">
        <f t="shared" si="31"/>
        <v>0</v>
      </c>
      <c r="R115" s="3">
        <f t="shared" si="32"/>
        <v>0</v>
      </c>
      <c r="S115" s="3">
        <f>SUM(Q115:R115)</f>
        <v>0</v>
      </c>
      <c r="T115" s="3" t="str">
        <f t="shared" si="33"/>
        <v xml:space="preserve"> </v>
      </c>
      <c r="U115" s="16"/>
      <c r="V115" s="21"/>
      <c r="AA115" s="3"/>
      <c r="AB115" s="16"/>
      <c r="AD115" s="16"/>
    </row>
    <row r="116" spans="1:30" x14ac:dyDescent="0.25">
      <c r="A116" t="s">
        <v>99</v>
      </c>
      <c r="D116" s="1">
        <f>SUM(B116:C116)</f>
        <v>0</v>
      </c>
      <c r="G116" s="1">
        <f>SUM(E116:F116)</f>
        <v>0</v>
      </c>
      <c r="K116" s="1">
        <f>SUM(I116:J116)</f>
        <v>0</v>
      </c>
      <c r="N116" s="1">
        <f t="shared" si="28"/>
        <v>0</v>
      </c>
      <c r="O116" s="1">
        <f t="shared" si="29"/>
        <v>0</v>
      </c>
      <c r="P116" s="1">
        <f t="shared" si="30"/>
        <v>0</v>
      </c>
      <c r="Q116" s="3">
        <f t="shared" si="31"/>
        <v>0</v>
      </c>
      <c r="R116" s="3">
        <f t="shared" si="32"/>
        <v>0</v>
      </c>
      <c r="S116" s="3">
        <f>SUM(Q116:R116)</f>
        <v>0</v>
      </c>
      <c r="T116" s="3" t="str">
        <f t="shared" si="33"/>
        <v xml:space="preserve"> </v>
      </c>
      <c r="U116" s="16"/>
      <c r="V116" s="21"/>
      <c r="AA116" s="3"/>
      <c r="AB116" s="16"/>
      <c r="AD116" s="16"/>
    </row>
    <row r="117" spans="1:30" x14ac:dyDescent="0.25">
      <c r="A117" t="s">
        <v>100</v>
      </c>
      <c r="D117" s="1">
        <f>SUM(B117:C117)</f>
        <v>0</v>
      </c>
      <c r="G117" s="31">
        <v>10977</v>
      </c>
      <c r="K117" s="31">
        <f>10977+583</f>
        <v>11560</v>
      </c>
      <c r="L117" s="38">
        <f>SUM(K117-G117)/G117*100</f>
        <v>5.3111050378063229</v>
      </c>
      <c r="N117" s="1">
        <f t="shared" si="28"/>
        <v>0</v>
      </c>
      <c r="O117" s="1">
        <f t="shared" si="29"/>
        <v>0</v>
      </c>
      <c r="P117" s="1">
        <v>583</v>
      </c>
      <c r="Q117" s="3">
        <f t="shared" si="31"/>
        <v>0</v>
      </c>
      <c r="R117" s="3">
        <f t="shared" si="32"/>
        <v>0</v>
      </c>
      <c r="S117" s="25">
        <f>P117*1250</f>
        <v>728750</v>
      </c>
      <c r="T117" s="3">
        <f t="shared" si="33"/>
        <v>1250</v>
      </c>
      <c r="U117" s="16"/>
      <c r="V117" s="21"/>
      <c r="AA117" s="3"/>
      <c r="AB117" s="16"/>
      <c r="AD117" s="16"/>
    </row>
    <row r="118" spans="1:30" x14ac:dyDescent="0.25">
      <c r="A118" t="s">
        <v>101</v>
      </c>
      <c r="D118" s="1">
        <f>SUM(B118:C118)</f>
        <v>0</v>
      </c>
      <c r="G118" s="1">
        <f>SUM(E118:F118)</f>
        <v>0</v>
      </c>
      <c r="K118" s="1">
        <f>SUM(I118:J118)</f>
        <v>0</v>
      </c>
      <c r="N118" s="1">
        <f t="shared" si="28"/>
        <v>0</v>
      </c>
      <c r="O118" s="1">
        <f t="shared" si="29"/>
        <v>0</v>
      </c>
      <c r="P118" s="1">
        <f>K118-G118</f>
        <v>0</v>
      </c>
      <c r="Q118" s="3">
        <f t="shared" si="31"/>
        <v>0</v>
      </c>
      <c r="R118" s="3">
        <f t="shared" si="32"/>
        <v>0</v>
      </c>
      <c r="S118" s="3">
        <f>SUM(Q118:R118)</f>
        <v>0</v>
      </c>
      <c r="T118" s="3" t="str">
        <f t="shared" si="33"/>
        <v xml:space="preserve"> </v>
      </c>
      <c r="U118" s="16"/>
      <c r="V118" s="21"/>
      <c r="AA118" s="3"/>
      <c r="AB118" s="16"/>
      <c r="AD118" s="16"/>
    </row>
    <row r="119" spans="1:30" x14ac:dyDescent="0.25">
      <c r="A119" t="s">
        <v>102</v>
      </c>
      <c r="D119" s="1">
        <v>7690</v>
      </c>
      <c r="G119" s="1">
        <v>8447</v>
      </c>
      <c r="K119" s="1">
        <v>9027</v>
      </c>
      <c r="L119" s="38">
        <f>SUM(K119-G119)/G119*100</f>
        <v>6.8663430803835679</v>
      </c>
      <c r="N119" s="1">
        <f t="shared" si="28"/>
        <v>0</v>
      </c>
      <c r="O119" s="1">
        <f t="shared" si="29"/>
        <v>0</v>
      </c>
      <c r="P119" s="1">
        <f>K119-G119</f>
        <v>580</v>
      </c>
      <c r="Q119" s="3">
        <f t="shared" si="31"/>
        <v>0</v>
      </c>
      <c r="R119" s="3">
        <f t="shared" si="32"/>
        <v>0</v>
      </c>
      <c r="S119" s="25">
        <f>P119*1250</f>
        <v>725000</v>
      </c>
      <c r="T119" s="3">
        <f t="shared" si="33"/>
        <v>1250</v>
      </c>
      <c r="U119" s="16"/>
      <c r="V119" s="21"/>
      <c r="AA119" s="3"/>
      <c r="AB119" s="16"/>
      <c r="AD119" s="16"/>
    </row>
    <row r="120" spans="1:30" x14ac:dyDescent="0.25">
      <c r="A120" t="s">
        <v>103</v>
      </c>
      <c r="D120" s="1">
        <f>SUM(B120:C120)</f>
        <v>0</v>
      </c>
      <c r="G120" s="1">
        <f>SUM(E120:F120)</f>
        <v>0</v>
      </c>
      <c r="K120" s="1">
        <f>SUM(I120:J120)</f>
        <v>0</v>
      </c>
      <c r="N120" s="1">
        <f t="shared" si="28"/>
        <v>0</v>
      </c>
      <c r="O120" s="1">
        <f t="shared" si="29"/>
        <v>0</v>
      </c>
      <c r="P120" s="1">
        <f>K120-G120</f>
        <v>0</v>
      </c>
      <c r="Q120" s="3">
        <f t="shared" si="31"/>
        <v>0</v>
      </c>
      <c r="R120" s="3">
        <f t="shared" si="32"/>
        <v>0</v>
      </c>
      <c r="S120" s="3">
        <f>SUM(Q120:R120)</f>
        <v>0</v>
      </c>
      <c r="T120" s="3" t="str">
        <f t="shared" si="33"/>
        <v xml:space="preserve"> </v>
      </c>
      <c r="U120" s="16"/>
      <c r="V120" s="21"/>
      <c r="AA120" s="3"/>
      <c r="AB120" s="16"/>
      <c r="AD120" s="16"/>
    </row>
    <row r="121" spans="1:30" x14ac:dyDescent="0.25">
      <c r="A121" t="s">
        <v>104</v>
      </c>
      <c r="D121" s="1">
        <v>4683</v>
      </c>
      <c r="G121" s="1">
        <v>5457</v>
      </c>
      <c r="K121" s="1">
        <v>5854</v>
      </c>
      <c r="L121" s="38">
        <f>SUM(K121-G121)/G121*100</f>
        <v>7.2750595565328942</v>
      </c>
      <c r="N121" s="1">
        <v>274</v>
      </c>
      <c r="O121" s="1">
        <v>123</v>
      </c>
      <c r="P121" s="1">
        <f>K121-G121</f>
        <v>397</v>
      </c>
      <c r="Q121" s="3">
        <f t="shared" si="31"/>
        <v>368530</v>
      </c>
      <c r="R121" s="3">
        <f t="shared" si="32"/>
        <v>117465</v>
      </c>
      <c r="S121" s="3">
        <f>SUM(Q121:R121)</f>
        <v>485995</v>
      </c>
      <c r="T121" s="3">
        <f t="shared" si="33"/>
        <v>1224.168765743073</v>
      </c>
      <c r="U121" s="16"/>
      <c r="V121" s="21"/>
      <c r="AA121" s="3"/>
      <c r="AB121" s="16"/>
      <c r="AD121" s="16"/>
    </row>
    <row r="122" spans="1:30" x14ac:dyDescent="0.25">
      <c r="A122" t="s">
        <v>105</v>
      </c>
      <c r="D122" s="1">
        <f t="shared" ref="D122:D131" si="34">SUM(B122:C122)</f>
        <v>0</v>
      </c>
      <c r="G122" s="17">
        <v>4892</v>
      </c>
      <c r="K122" s="17">
        <v>5374</v>
      </c>
      <c r="L122" s="38">
        <f>SUM(K122-G122)/G122*100</f>
        <v>9.8528209321340956</v>
      </c>
      <c r="N122" s="1">
        <f t="shared" ref="N122:O128" si="35">I122-E122</f>
        <v>0</v>
      </c>
      <c r="O122" s="1">
        <f t="shared" si="35"/>
        <v>0</v>
      </c>
      <c r="P122" s="18">
        <v>482</v>
      </c>
      <c r="Q122" s="3">
        <f t="shared" si="31"/>
        <v>0</v>
      </c>
      <c r="R122" s="3">
        <f t="shared" si="32"/>
        <v>0</v>
      </c>
      <c r="S122" s="19">
        <f>P122*1250</f>
        <v>602500</v>
      </c>
      <c r="T122" s="3">
        <f t="shared" si="33"/>
        <v>1250</v>
      </c>
      <c r="U122" s="16"/>
      <c r="V122" s="21"/>
      <c r="AA122" s="3"/>
      <c r="AB122" s="16"/>
      <c r="AD122" s="16"/>
    </row>
    <row r="123" spans="1:30" x14ac:dyDescent="0.25">
      <c r="A123" t="s">
        <v>106</v>
      </c>
      <c r="D123" s="1">
        <f t="shared" si="34"/>
        <v>0</v>
      </c>
      <c r="G123" s="17">
        <v>7820</v>
      </c>
      <c r="K123" s="17">
        <v>8378</v>
      </c>
      <c r="L123" s="38">
        <f>SUM(K123-G123)/G123*100</f>
        <v>7.1355498721227626</v>
      </c>
      <c r="N123" s="1">
        <f t="shared" si="35"/>
        <v>0</v>
      </c>
      <c r="O123" s="1">
        <f t="shared" si="35"/>
        <v>0</v>
      </c>
      <c r="P123" s="18">
        <v>558</v>
      </c>
      <c r="Q123" s="3">
        <f t="shared" si="31"/>
        <v>0</v>
      </c>
      <c r="R123" s="3">
        <f t="shared" si="32"/>
        <v>0</v>
      </c>
      <c r="S123" s="19">
        <f>P123*1250</f>
        <v>697500</v>
      </c>
      <c r="T123" s="3">
        <f t="shared" si="33"/>
        <v>1250</v>
      </c>
      <c r="U123" s="16"/>
      <c r="V123" s="21"/>
      <c r="AA123" s="3"/>
      <c r="AB123" s="16"/>
      <c r="AD123" s="16"/>
    </row>
    <row r="124" spans="1:30" x14ac:dyDescent="0.25">
      <c r="A124" t="s">
        <v>107</v>
      </c>
      <c r="D124" s="1">
        <f t="shared" si="34"/>
        <v>0</v>
      </c>
      <c r="G124" s="1">
        <f>SUM(E124:F124)</f>
        <v>0</v>
      </c>
      <c r="K124" s="1">
        <f>SUM(I124:J124)</f>
        <v>0</v>
      </c>
      <c r="N124" s="1">
        <f t="shared" si="35"/>
        <v>0</v>
      </c>
      <c r="O124" s="1">
        <f t="shared" si="35"/>
        <v>0</v>
      </c>
      <c r="P124" s="1">
        <f>K124-G124</f>
        <v>0</v>
      </c>
      <c r="Q124" s="3">
        <f t="shared" si="31"/>
        <v>0</v>
      </c>
      <c r="R124" s="3">
        <f t="shared" si="32"/>
        <v>0</v>
      </c>
      <c r="S124" s="3">
        <f>SUM(Q124:R124)</f>
        <v>0</v>
      </c>
      <c r="T124" s="3" t="str">
        <f t="shared" si="33"/>
        <v xml:space="preserve"> </v>
      </c>
      <c r="U124" s="16"/>
      <c r="V124" s="21"/>
      <c r="AA124" s="3"/>
      <c r="AB124" s="16"/>
      <c r="AD124" s="16"/>
    </row>
    <row r="125" spans="1:30" x14ac:dyDescent="0.25">
      <c r="A125" t="s">
        <v>110</v>
      </c>
      <c r="D125" s="1">
        <f t="shared" si="34"/>
        <v>0</v>
      </c>
      <c r="G125" s="1">
        <f>SUM(E125:F125)</f>
        <v>0</v>
      </c>
      <c r="K125" s="1">
        <f>SUM(I125:J125)</f>
        <v>0</v>
      </c>
      <c r="N125" s="1">
        <f t="shared" si="35"/>
        <v>0</v>
      </c>
      <c r="O125" s="1">
        <f t="shared" si="35"/>
        <v>0</v>
      </c>
      <c r="P125" s="1">
        <f>K125-G125</f>
        <v>0</v>
      </c>
      <c r="Q125" s="3">
        <f t="shared" si="31"/>
        <v>0</v>
      </c>
      <c r="R125" s="3">
        <f t="shared" si="32"/>
        <v>0</v>
      </c>
      <c r="S125" s="3">
        <f>SUM(Q125:R125)</f>
        <v>0</v>
      </c>
      <c r="T125" s="3" t="str">
        <f t="shared" si="33"/>
        <v xml:space="preserve"> </v>
      </c>
      <c r="U125" s="16"/>
      <c r="V125" s="21"/>
      <c r="AA125" s="3"/>
      <c r="AB125" s="16"/>
      <c r="AD125" s="16"/>
    </row>
    <row r="126" spans="1:30" x14ac:dyDescent="0.25">
      <c r="A126" t="s">
        <v>111</v>
      </c>
      <c r="D126" s="1">
        <f t="shared" si="34"/>
        <v>0</v>
      </c>
      <c r="G126" s="17">
        <v>6091</v>
      </c>
      <c r="K126" s="17">
        <v>6443</v>
      </c>
      <c r="L126" s="38">
        <f>SUM(K126-G126)/G126*100</f>
        <v>5.7790182236086025</v>
      </c>
      <c r="N126" s="1">
        <f t="shared" si="35"/>
        <v>0</v>
      </c>
      <c r="O126" s="1">
        <f t="shared" si="35"/>
        <v>0</v>
      </c>
      <c r="P126" s="18">
        <v>352</v>
      </c>
      <c r="Q126" s="3">
        <f t="shared" si="31"/>
        <v>0</v>
      </c>
      <c r="R126" s="3">
        <f t="shared" si="32"/>
        <v>0</v>
      </c>
      <c r="S126" s="19">
        <f>P126*1250</f>
        <v>440000</v>
      </c>
      <c r="T126" s="3">
        <f t="shared" si="33"/>
        <v>1250</v>
      </c>
      <c r="U126" s="16"/>
      <c r="V126" s="21"/>
      <c r="AA126" s="3"/>
      <c r="AB126" s="16"/>
      <c r="AD126" s="16"/>
    </row>
    <row r="127" spans="1:30" x14ac:dyDescent="0.25">
      <c r="A127" t="s">
        <v>108</v>
      </c>
      <c r="D127" s="1">
        <f t="shared" si="34"/>
        <v>0</v>
      </c>
      <c r="G127" s="1">
        <f>SUM(E127:F127)</f>
        <v>0</v>
      </c>
      <c r="K127" s="1">
        <f>SUM(I127:J127)</f>
        <v>0</v>
      </c>
      <c r="N127" s="1">
        <f t="shared" si="35"/>
        <v>0</v>
      </c>
      <c r="O127" s="1">
        <f t="shared" si="35"/>
        <v>0</v>
      </c>
      <c r="P127" s="1">
        <f>K127-G127</f>
        <v>0</v>
      </c>
      <c r="Q127" s="3">
        <f t="shared" si="31"/>
        <v>0</v>
      </c>
      <c r="R127" s="3">
        <f t="shared" si="32"/>
        <v>0</v>
      </c>
      <c r="S127" s="3">
        <f>SUM(Q127:R127)</f>
        <v>0</v>
      </c>
      <c r="T127" s="3" t="str">
        <f t="shared" si="33"/>
        <v xml:space="preserve"> </v>
      </c>
      <c r="U127" s="16"/>
      <c r="V127" s="21"/>
      <c r="AA127" s="3"/>
      <c r="AB127" s="16"/>
      <c r="AD127" s="16"/>
    </row>
    <row r="128" spans="1:30" x14ac:dyDescent="0.25">
      <c r="A128" t="s">
        <v>109</v>
      </c>
      <c r="D128" s="1">
        <f t="shared" si="34"/>
        <v>0</v>
      </c>
      <c r="G128" s="17">
        <v>5646</v>
      </c>
      <c r="K128" s="17">
        <v>6027</v>
      </c>
      <c r="L128" s="38">
        <f>SUM(K128-G128)/G128*100</f>
        <v>6.7481402763018057</v>
      </c>
      <c r="N128" s="1">
        <f t="shared" si="35"/>
        <v>0</v>
      </c>
      <c r="O128" s="1">
        <f t="shared" si="35"/>
        <v>0</v>
      </c>
      <c r="P128" s="17">
        <f>K128-G128</f>
        <v>381</v>
      </c>
      <c r="Q128" s="3">
        <f t="shared" si="31"/>
        <v>0</v>
      </c>
      <c r="R128" s="3">
        <f t="shared" si="32"/>
        <v>0</v>
      </c>
      <c r="S128" s="19">
        <v>476250</v>
      </c>
      <c r="T128" s="3">
        <f t="shared" si="33"/>
        <v>1250</v>
      </c>
      <c r="U128" s="16"/>
      <c r="V128" s="21"/>
      <c r="AA128" s="3"/>
      <c r="AB128" s="16"/>
      <c r="AD128" s="16"/>
    </row>
    <row r="129" spans="1:30" x14ac:dyDescent="0.25">
      <c r="A129" t="s">
        <v>112</v>
      </c>
      <c r="D129" s="1">
        <f t="shared" si="34"/>
        <v>0</v>
      </c>
      <c r="G129" s="1">
        <f>12206-1021</f>
        <v>11185</v>
      </c>
      <c r="K129" s="1">
        <v>12206</v>
      </c>
      <c r="L129" s="38">
        <f>SUM(K129-G129)/G129*100</f>
        <v>9.1282968261063928</v>
      </c>
      <c r="N129" s="1">
        <v>640</v>
      </c>
      <c r="O129" s="1">
        <v>381</v>
      </c>
      <c r="P129" s="1">
        <f>SUM(N129:O129)</f>
        <v>1021</v>
      </c>
      <c r="Q129" s="3">
        <f t="shared" si="31"/>
        <v>860800</v>
      </c>
      <c r="R129" s="3">
        <f t="shared" si="32"/>
        <v>363855</v>
      </c>
      <c r="S129" s="3">
        <f>SUM(Q129:R129)</f>
        <v>1224655</v>
      </c>
      <c r="T129" s="3">
        <f t="shared" si="33"/>
        <v>1199.4662095984329</v>
      </c>
      <c r="U129" s="16"/>
      <c r="V129" s="21"/>
      <c r="AA129" s="3"/>
      <c r="AB129" s="16"/>
      <c r="AD129" s="16"/>
    </row>
    <row r="130" spans="1:30" x14ac:dyDescent="0.25">
      <c r="A130" t="s">
        <v>114</v>
      </c>
      <c r="D130" s="1">
        <f t="shared" si="34"/>
        <v>0</v>
      </c>
      <c r="G130" s="1">
        <v>5639</v>
      </c>
      <c r="K130" s="1">
        <v>6174</v>
      </c>
      <c r="L130" s="38">
        <f>SUM(K130-G130)/G130*100</f>
        <v>9.4874977832949092</v>
      </c>
      <c r="N130" s="27">
        <v>455</v>
      </c>
      <c r="O130" s="27">
        <v>80</v>
      </c>
      <c r="P130" s="1">
        <f>K130-G130</f>
        <v>535</v>
      </c>
      <c r="Q130" s="3">
        <f t="shared" si="31"/>
        <v>611975</v>
      </c>
      <c r="R130" s="3">
        <f t="shared" si="32"/>
        <v>76400</v>
      </c>
      <c r="S130" s="3">
        <f>SUM(Q130:R130)</f>
        <v>688375</v>
      </c>
      <c r="T130" s="3">
        <f t="shared" si="33"/>
        <v>1286.6822429906542</v>
      </c>
      <c r="U130" s="16"/>
      <c r="V130" s="21"/>
      <c r="AA130" s="3"/>
      <c r="AB130" s="16"/>
      <c r="AD130" s="16"/>
    </row>
    <row r="131" spans="1:30" x14ac:dyDescent="0.25">
      <c r="A131" t="s">
        <v>113</v>
      </c>
      <c r="D131" s="1">
        <f t="shared" si="34"/>
        <v>0</v>
      </c>
      <c r="E131" s="1">
        <v>10483</v>
      </c>
      <c r="F131" s="1">
        <v>7063</v>
      </c>
      <c r="G131" s="1">
        <f>SUM(E131:F131)</f>
        <v>17546</v>
      </c>
      <c r="I131" s="1">
        <v>11324</v>
      </c>
      <c r="J131" s="1">
        <v>7232</v>
      </c>
      <c r="K131" s="1">
        <f>SUM(I131:J131)</f>
        <v>18556</v>
      </c>
      <c r="L131" s="38">
        <f>SUM(K131-G131)/G131*100</f>
        <v>5.7562977316767361</v>
      </c>
      <c r="N131" s="1">
        <f t="shared" ref="N131:O134" si="36">I131-E131</f>
        <v>841</v>
      </c>
      <c r="O131" s="1">
        <f t="shared" si="36"/>
        <v>169</v>
      </c>
      <c r="P131" s="1">
        <f>K131-G131</f>
        <v>1010</v>
      </c>
      <c r="Q131" s="3">
        <f t="shared" si="31"/>
        <v>1131145</v>
      </c>
      <c r="R131" s="3">
        <f t="shared" si="32"/>
        <v>161395</v>
      </c>
      <c r="S131" s="3">
        <f>SUM(Q131:R131)</f>
        <v>1292540</v>
      </c>
      <c r="T131" s="3">
        <f t="shared" si="33"/>
        <v>1279.7425742574258</v>
      </c>
      <c r="U131" s="16"/>
      <c r="V131" s="21"/>
      <c r="AA131" s="3"/>
      <c r="AB131" s="16"/>
      <c r="AD131" s="16"/>
    </row>
    <row r="132" spans="1:30" x14ac:dyDescent="0.25">
      <c r="A132" t="s">
        <v>115</v>
      </c>
      <c r="D132" s="1">
        <v>6192</v>
      </c>
      <c r="E132" s="1">
        <v>4219</v>
      </c>
      <c r="F132" s="1">
        <v>2811</v>
      </c>
      <c r="G132" s="1">
        <v>7030</v>
      </c>
      <c r="I132" s="1">
        <v>4657</v>
      </c>
      <c r="J132" s="1">
        <v>2924</v>
      </c>
      <c r="K132" s="1">
        <v>7581</v>
      </c>
      <c r="L132" s="38">
        <f>SUM(K132-G132)/G132*100</f>
        <v>7.8378378378378386</v>
      </c>
      <c r="N132" s="1">
        <f t="shared" si="36"/>
        <v>438</v>
      </c>
      <c r="O132" s="1">
        <f t="shared" si="36"/>
        <v>113</v>
      </c>
      <c r="P132" s="1">
        <f>K132-G132</f>
        <v>551</v>
      </c>
      <c r="Q132" s="3">
        <f t="shared" si="31"/>
        <v>589110</v>
      </c>
      <c r="R132" s="3">
        <f t="shared" si="32"/>
        <v>107915</v>
      </c>
      <c r="S132" s="3">
        <f>SUM(Q132:R132)</f>
        <v>697025</v>
      </c>
      <c r="T132" s="3">
        <f t="shared" si="33"/>
        <v>1265.0181488203266</v>
      </c>
      <c r="U132" s="16"/>
      <c r="V132" s="21"/>
      <c r="AA132" s="3"/>
      <c r="AB132" s="16"/>
      <c r="AD132" s="16"/>
    </row>
    <row r="133" spans="1:30" x14ac:dyDescent="0.25">
      <c r="A133" t="s">
        <v>116</v>
      </c>
      <c r="D133" s="1">
        <f>SUM(B133:C133)</f>
        <v>0</v>
      </c>
      <c r="G133" s="1">
        <f>SUM(E133:F133)</f>
        <v>0</v>
      </c>
      <c r="K133" s="1">
        <f>SUM(I133:J133)</f>
        <v>0</v>
      </c>
      <c r="N133" s="1">
        <f t="shared" si="36"/>
        <v>0</v>
      </c>
      <c r="O133" s="1">
        <f t="shared" si="36"/>
        <v>0</v>
      </c>
      <c r="P133" s="1">
        <f>K133-G133</f>
        <v>0</v>
      </c>
      <c r="Q133" s="3">
        <f t="shared" si="31"/>
        <v>0</v>
      </c>
      <c r="R133" s="3">
        <f t="shared" si="32"/>
        <v>0</v>
      </c>
      <c r="S133" s="3">
        <f>SUM(Q133:R133)</f>
        <v>0</v>
      </c>
      <c r="T133" s="3" t="str">
        <f t="shared" si="33"/>
        <v xml:space="preserve"> </v>
      </c>
      <c r="U133" s="16"/>
      <c r="V133" s="21"/>
      <c r="AA133" s="3"/>
      <c r="AB133" s="16"/>
      <c r="AD133" s="16"/>
    </row>
    <row r="134" spans="1:30" x14ac:dyDescent="0.25">
      <c r="A134" t="s">
        <v>117</v>
      </c>
      <c r="D134" s="1">
        <f>SUM(B134:C134)</f>
        <v>0</v>
      </c>
      <c r="G134" s="31">
        <v>12357</v>
      </c>
      <c r="K134" s="31">
        <f>12357+363</f>
        <v>12720</v>
      </c>
      <c r="L134" s="38">
        <f>SUM(K134-G134)/G134*100</f>
        <v>2.9376062151007529</v>
      </c>
      <c r="N134" s="1">
        <f t="shared" si="36"/>
        <v>0</v>
      </c>
      <c r="O134" s="1">
        <f t="shared" si="36"/>
        <v>0</v>
      </c>
      <c r="P134" s="1">
        <v>363</v>
      </c>
      <c r="Q134" s="3">
        <f t="shared" si="31"/>
        <v>0</v>
      </c>
      <c r="R134" s="3">
        <f t="shared" si="32"/>
        <v>0</v>
      </c>
      <c r="S134" s="25">
        <f>P134*1250</f>
        <v>453750</v>
      </c>
      <c r="T134" s="3">
        <f t="shared" si="33"/>
        <v>1250</v>
      </c>
      <c r="U134" s="16"/>
      <c r="V134" s="21"/>
      <c r="AA134" s="3"/>
      <c r="AB134" s="16"/>
      <c r="AD134" s="16"/>
    </row>
    <row r="135" spans="1:30" x14ac:dyDescent="0.25">
      <c r="A135" t="s">
        <v>118</v>
      </c>
      <c r="D135" s="1">
        <v>14513</v>
      </c>
      <c r="G135" s="1">
        <v>17711</v>
      </c>
      <c r="K135" s="1">
        <v>18681</v>
      </c>
      <c r="L135" s="38">
        <f>SUM(K135-G135)/G135*100</f>
        <v>5.4768223138162719</v>
      </c>
      <c r="N135" s="1">
        <v>683</v>
      </c>
      <c r="O135" s="1">
        <v>287</v>
      </c>
      <c r="P135" s="1">
        <f t="shared" ref="P135:P145" si="37">K135-G135</f>
        <v>970</v>
      </c>
      <c r="Q135" s="3">
        <f t="shared" si="31"/>
        <v>918635</v>
      </c>
      <c r="R135" s="3">
        <f t="shared" si="32"/>
        <v>274085</v>
      </c>
      <c r="S135" s="3">
        <f>SUM(Q135:R135)</f>
        <v>1192720</v>
      </c>
      <c r="T135" s="3">
        <f t="shared" si="33"/>
        <v>1229.6082474226805</v>
      </c>
      <c r="U135" s="16"/>
      <c r="V135" s="21"/>
      <c r="AA135" s="3"/>
      <c r="AB135" s="16"/>
      <c r="AD135" s="16"/>
    </row>
    <row r="136" spans="1:30" x14ac:dyDescent="0.25">
      <c r="A136" t="s">
        <v>119</v>
      </c>
      <c r="D136" s="1">
        <f>SUM(B136:C136)</f>
        <v>0</v>
      </c>
      <c r="G136" s="1">
        <f>SUM(E136:F136)</f>
        <v>0</v>
      </c>
      <c r="K136" s="1">
        <f>SUM(I136:J136)</f>
        <v>0</v>
      </c>
      <c r="N136" s="1">
        <f>I136-E136</f>
        <v>0</v>
      </c>
      <c r="O136" s="1">
        <f>J136-F136</f>
        <v>0</v>
      </c>
      <c r="P136" s="1">
        <f t="shared" si="37"/>
        <v>0</v>
      </c>
      <c r="Q136" s="3">
        <f t="shared" si="31"/>
        <v>0</v>
      </c>
      <c r="R136" s="3">
        <f t="shared" si="32"/>
        <v>0</v>
      </c>
      <c r="S136" s="3">
        <f>SUM(Q136:R136)</f>
        <v>0</v>
      </c>
      <c r="T136" s="3" t="str">
        <f t="shared" si="33"/>
        <v xml:space="preserve"> </v>
      </c>
      <c r="U136" s="16"/>
      <c r="V136" s="21"/>
      <c r="AA136" s="3"/>
      <c r="AB136" s="16"/>
      <c r="AD136" s="16"/>
    </row>
    <row r="137" spans="1:30" x14ac:dyDescent="0.25">
      <c r="A137" t="s">
        <v>120</v>
      </c>
      <c r="D137" s="1">
        <f>SUM(B137:C137)</f>
        <v>0</v>
      </c>
      <c r="G137" s="17">
        <v>16703</v>
      </c>
      <c r="K137" s="17">
        <v>17768</v>
      </c>
      <c r="L137" s="38">
        <f>SUM(K137-G137)/G137*100</f>
        <v>6.3761001017781229</v>
      </c>
      <c r="N137" s="1">
        <f>I137-E137</f>
        <v>0</v>
      </c>
      <c r="O137" s="1">
        <f>J137-F137</f>
        <v>0</v>
      </c>
      <c r="P137" s="17">
        <f t="shared" si="37"/>
        <v>1065</v>
      </c>
      <c r="Q137" s="3">
        <f t="shared" si="31"/>
        <v>0</v>
      </c>
      <c r="R137" s="3">
        <f t="shared" si="32"/>
        <v>0</v>
      </c>
      <c r="S137" s="19">
        <v>1331250</v>
      </c>
      <c r="T137" s="3">
        <f t="shared" si="33"/>
        <v>1250</v>
      </c>
      <c r="U137" s="16"/>
      <c r="V137" s="21"/>
      <c r="AA137" s="3"/>
      <c r="AB137" s="16"/>
      <c r="AD137" s="16"/>
    </row>
    <row r="138" spans="1:30" x14ac:dyDescent="0.25">
      <c r="A138" t="s">
        <v>121</v>
      </c>
      <c r="D138" s="1">
        <v>4918</v>
      </c>
      <c r="G138" s="1">
        <v>5500</v>
      </c>
      <c r="K138" s="1">
        <v>5842</v>
      </c>
      <c r="L138" s="38">
        <f>SUM(K138-G138)/G138*100</f>
        <v>6.2181818181818178</v>
      </c>
      <c r="N138" s="1">
        <v>263</v>
      </c>
      <c r="O138" s="1">
        <v>79</v>
      </c>
      <c r="P138" s="1">
        <f t="shared" si="37"/>
        <v>342</v>
      </c>
      <c r="Q138" s="3">
        <f t="shared" si="31"/>
        <v>353735</v>
      </c>
      <c r="R138" s="3">
        <f t="shared" si="32"/>
        <v>75445</v>
      </c>
      <c r="S138" s="29">
        <f>SUM(Q138:R138)</f>
        <v>429180</v>
      </c>
      <c r="T138" s="3">
        <f t="shared" si="33"/>
        <v>1254.9122807017543</v>
      </c>
      <c r="U138" s="16"/>
      <c r="V138" s="21"/>
      <c r="Y138" s="20"/>
      <c r="AA138" s="3"/>
      <c r="AB138" s="16"/>
      <c r="AD138" s="16"/>
    </row>
    <row r="139" spans="1:30" x14ac:dyDescent="0.25">
      <c r="A139" t="s">
        <v>122</v>
      </c>
      <c r="D139" s="1">
        <f>SUM(B139:C139)</f>
        <v>0</v>
      </c>
      <c r="G139" s="1">
        <f>SUM(E139:F139)</f>
        <v>0</v>
      </c>
      <c r="K139" s="1">
        <f>SUM(I139:J139)</f>
        <v>0</v>
      </c>
      <c r="N139" s="1">
        <f>I139-E139</f>
        <v>0</v>
      </c>
      <c r="O139" s="1">
        <f>J139-F139</f>
        <v>0</v>
      </c>
      <c r="P139" s="1">
        <f t="shared" si="37"/>
        <v>0</v>
      </c>
      <c r="Q139" s="3">
        <f t="shared" si="31"/>
        <v>0</v>
      </c>
      <c r="R139" s="3">
        <f t="shared" si="32"/>
        <v>0</v>
      </c>
      <c r="S139" s="3">
        <f>SUM(Q139:R139)</f>
        <v>0</v>
      </c>
      <c r="T139" s="3" t="str">
        <f t="shared" si="33"/>
        <v xml:space="preserve"> </v>
      </c>
      <c r="U139" s="16"/>
      <c r="V139" s="21"/>
      <c r="AA139" s="3"/>
      <c r="AB139" s="16"/>
      <c r="AD139" s="16"/>
    </row>
    <row r="140" spans="1:30" x14ac:dyDescent="0.25">
      <c r="A140" t="s">
        <v>123</v>
      </c>
      <c r="D140" s="1">
        <v>8174</v>
      </c>
      <c r="G140" s="1">
        <v>9223</v>
      </c>
      <c r="K140" s="1">
        <v>9882</v>
      </c>
      <c r="L140" s="38">
        <f>SUM(K140-G140)/G140*100</f>
        <v>7.1451805269435109</v>
      </c>
      <c r="N140" s="1">
        <v>473</v>
      </c>
      <c r="O140" s="1">
        <v>184</v>
      </c>
      <c r="P140" s="1">
        <f t="shared" si="37"/>
        <v>659</v>
      </c>
      <c r="Q140" s="3">
        <f t="shared" ref="Q140:Q162" si="38">N140*$Q$9</f>
        <v>636185</v>
      </c>
      <c r="R140" s="3">
        <f t="shared" ref="R140:R162" si="39">O140*$R$9</f>
        <v>175720</v>
      </c>
      <c r="S140" s="3">
        <f>SUM(Q140:R140)</f>
        <v>811905</v>
      </c>
      <c r="T140" s="3">
        <f t="shared" ref="T140:T171" si="40">IF(S140&gt;0,S140/P140," ")</f>
        <v>1232.0257966616084</v>
      </c>
      <c r="U140" s="16"/>
      <c r="V140" s="21"/>
      <c r="AA140" s="3"/>
      <c r="AB140" s="16"/>
      <c r="AD140" s="16"/>
    </row>
    <row r="141" spans="1:30" x14ac:dyDescent="0.25">
      <c r="A141" t="s">
        <v>160</v>
      </c>
      <c r="D141" s="1">
        <f t="shared" ref="D141:D147" si="41">SUM(B141:C141)</f>
        <v>0</v>
      </c>
      <c r="E141" s="1">
        <v>4187</v>
      </c>
      <c r="F141" s="1">
        <v>2482</v>
      </c>
      <c r="G141" s="1">
        <f>SUM(E141:F141)</f>
        <v>6669</v>
      </c>
      <c r="I141" s="1">
        <v>4410</v>
      </c>
      <c r="J141" s="1">
        <v>2581</v>
      </c>
      <c r="K141" s="1">
        <f>SUM(I141:J141)</f>
        <v>6991</v>
      </c>
      <c r="L141" s="38">
        <f>SUM(K141-G141)/G141*100</f>
        <v>4.8283100914679862</v>
      </c>
      <c r="N141" s="1">
        <f t="shared" ref="N141:N152" si="42">I141-E141</f>
        <v>223</v>
      </c>
      <c r="O141" s="1">
        <f t="shared" ref="O141:O152" si="43">J141-F141</f>
        <v>99</v>
      </c>
      <c r="P141" s="1">
        <f t="shared" si="37"/>
        <v>322</v>
      </c>
      <c r="Q141" s="3">
        <f t="shared" si="38"/>
        <v>299935</v>
      </c>
      <c r="R141" s="3">
        <f t="shared" si="39"/>
        <v>94545</v>
      </c>
      <c r="S141" s="3">
        <f>SUM(Q141:R141)</f>
        <v>394480</v>
      </c>
      <c r="T141" s="3">
        <f t="shared" si="40"/>
        <v>1225.0931677018634</v>
      </c>
      <c r="U141" s="16"/>
      <c r="V141" s="21"/>
      <c r="AA141" s="3"/>
      <c r="AB141" s="16"/>
      <c r="AD141" s="16"/>
    </row>
    <row r="142" spans="1:30" x14ac:dyDescent="0.25">
      <c r="A142" t="s">
        <v>124</v>
      </c>
      <c r="D142" s="1">
        <f t="shared" si="41"/>
        <v>0</v>
      </c>
      <c r="G142" s="1">
        <v>4975</v>
      </c>
      <c r="K142" s="1">
        <v>5524</v>
      </c>
      <c r="L142" s="38">
        <f>SUM(K142-G142)/G142*100</f>
        <v>11.035175879396984</v>
      </c>
      <c r="N142" s="1">
        <f t="shared" si="42"/>
        <v>0</v>
      </c>
      <c r="O142" s="1">
        <f t="shared" si="43"/>
        <v>0</v>
      </c>
      <c r="P142" s="1">
        <f t="shared" si="37"/>
        <v>549</v>
      </c>
      <c r="Q142" s="3">
        <f t="shared" si="38"/>
        <v>0</v>
      </c>
      <c r="R142" s="3">
        <f t="shared" si="39"/>
        <v>0</v>
      </c>
      <c r="S142" s="3">
        <v>686250</v>
      </c>
      <c r="T142" s="3">
        <f t="shared" si="40"/>
        <v>1250</v>
      </c>
      <c r="U142" s="16"/>
      <c r="V142" s="21"/>
      <c r="AA142" s="3"/>
      <c r="AB142" s="16"/>
      <c r="AD142" s="16"/>
    </row>
    <row r="143" spans="1:30" x14ac:dyDescent="0.25">
      <c r="A143" t="s">
        <v>125</v>
      </c>
      <c r="B143" s="49"/>
      <c r="C143" s="49"/>
      <c r="D143" s="49">
        <f t="shared" si="41"/>
        <v>0</v>
      </c>
      <c r="E143" s="49"/>
      <c r="F143" s="49"/>
      <c r="G143" s="49">
        <f>SUM(E143:F143)</f>
        <v>0</v>
      </c>
      <c r="H143" s="49"/>
      <c r="I143" s="49"/>
      <c r="J143" s="49"/>
      <c r="K143" s="49">
        <f>SUM(I143:J143)</f>
        <v>0</v>
      </c>
      <c r="L143" s="50"/>
      <c r="M143" s="49"/>
      <c r="N143" s="49">
        <f t="shared" si="42"/>
        <v>0</v>
      </c>
      <c r="O143" s="49">
        <f t="shared" si="43"/>
        <v>0</v>
      </c>
      <c r="P143" s="49">
        <f t="shared" si="37"/>
        <v>0</v>
      </c>
      <c r="Q143" s="51">
        <f t="shared" si="38"/>
        <v>0</v>
      </c>
      <c r="R143" s="51">
        <f t="shared" si="39"/>
        <v>0</v>
      </c>
      <c r="S143" s="51">
        <f>SUM(Q143:R143)</f>
        <v>0</v>
      </c>
      <c r="T143" s="51" t="str">
        <f t="shared" si="40"/>
        <v xml:space="preserve"> </v>
      </c>
      <c r="U143" s="16"/>
      <c r="V143" s="21"/>
      <c r="AA143" s="3"/>
      <c r="AB143" s="16"/>
      <c r="AD143" s="16"/>
    </row>
    <row r="144" spans="1:30" x14ac:dyDescent="0.25">
      <c r="A144" t="s">
        <v>126</v>
      </c>
      <c r="D144" s="1">
        <f t="shared" si="41"/>
        <v>0</v>
      </c>
      <c r="G144" s="1">
        <f>SUM(E144:F144)</f>
        <v>0</v>
      </c>
      <c r="K144" s="1">
        <f>SUM(I144:J144)</f>
        <v>0</v>
      </c>
      <c r="L144" s="38" t="e">
        <f t="shared" ref="L144:L162" si="44">SUM(K144-G144)/G144*100</f>
        <v>#DIV/0!</v>
      </c>
      <c r="N144" s="1">
        <f t="shared" si="42"/>
        <v>0</v>
      </c>
      <c r="O144" s="1">
        <f t="shared" si="43"/>
        <v>0</v>
      </c>
      <c r="P144" s="1">
        <f t="shared" si="37"/>
        <v>0</v>
      </c>
      <c r="Q144" s="3">
        <f t="shared" si="38"/>
        <v>0</v>
      </c>
      <c r="R144" s="3">
        <f t="shared" si="39"/>
        <v>0</v>
      </c>
      <c r="S144" s="3">
        <f>SUM(Q144:R144)</f>
        <v>0</v>
      </c>
      <c r="T144" s="3" t="str">
        <f t="shared" si="40"/>
        <v xml:space="preserve"> </v>
      </c>
      <c r="U144" s="16"/>
      <c r="V144" s="21"/>
      <c r="AA144" s="3"/>
      <c r="AB144" s="16"/>
      <c r="AD144" s="16"/>
    </row>
    <row r="145" spans="1:30" x14ac:dyDescent="0.25">
      <c r="A145" t="s">
        <v>127</v>
      </c>
      <c r="D145" s="1">
        <f t="shared" si="41"/>
        <v>0</v>
      </c>
      <c r="G145" s="17">
        <v>5359</v>
      </c>
      <c r="K145" s="17">
        <v>5902</v>
      </c>
      <c r="L145" s="38">
        <f t="shared" si="44"/>
        <v>10.132487404366486</v>
      </c>
      <c r="N145" s="1">
        <f t="shared" si="42"/>
        <v>0</v>
      </c>
      <c r="O145" s="1">
        <f t="shared" si="43"/>
        <v>0</v>
      </c>
      <c r="P145" s="17">
        <f t="shared" si="37"/>
        <v>543</v>
      </c>
      <c r="Q145" s="3">
        <f t="shared" si="38"/>
        <v>0</v>
      </c>
      <c r="R145" s="3">
        <f t="shared" si="39"/>
        <v>0</v>
      </c>
      <c r="S145" s="19">
        <v>678750</v>
      </c>
      <c r="T145" s="3">
        <f t="shared" si="40"/>
        <v>1250</v>
      </c>
      <c r="U145" s="16"/>
      <c r="V145" s="21"/>
      <c r="AA145" s="3"/>
      <c r="AB145" s="16"/>
      <c r="AD145" s="16"/>
    </row>
    <row r="146" spans="1:30" x14ac:dyDescent="0.25">
      <c r="A146" t="s">
        <v>128</v>
      </c>
      <c r="D146" s="1">
        <f t="shared" si="41"/>
        <v>0</v>
      </c>
      <c r="G146" s="17">
        <v>12170</v>
      </c>
      <c r="K146" s="17">
        <v>13019</v>
      </c>
      <c r="L146" s="38">
        <f t="shared" si="44"/>
        <v>6.9761709120788833</v>
      </c>
      <c r="N146" s="1">
        <f t="shared" si="42"/>
        <v>0</v>
      </c>
      <c r="O146" s="1">
        <f t="shared" si="43"/>
        <v>0</v>
      </c>
      <c r="P146" s="18">
        <v>849</v>
      </c>
      <c r="Q146" s="3">
        <f t="shared" si="38"/>
        <v>0</v>
      </c>
      <c r="R146" s="3">
        <f t="shared" si="39"/>
        <v>0</v>
      </c>
      <c r="S146" s="34">
        <f>P146*1250</f>
        <v>1061250</v>
      </c>
      <c r="T146" s="3">
        <f t="shared" si="40"/>
        <v>1250</v>
      </c>
      <c r="U146" s="16"/>
      <c r="V146" s="21"/>
      <c r="AA146" s="3"/>
      <c r="AB146" s="16"/>
      <c r="AD146" s="16"/>
    </row>
    <row r="147" spans="1:30" x14ac:dyDescent="0.25">
      <c r="A147" t="s">
        <v>129</v>
      </c>
      <c r="D147" s="1">
        <f t="shared" si="41"/>
        <v>0</v>
      </c>
      <c r="G147" s="1">
        <f>SUM(E147:F147)</f>
        <v>0</v>
      </c>
      <c r="K147" s="1">
        <f>SUM(I147:J147)</f>
        <v>0</v>
      </c>
      <c r="L147" s="38" t="e">
        <f t="shared" si="44"/>
        <v>#DIV/0!</v>
      </c>
      <c r="N147" s="1">
        <f t="shared" si="42"/>
        <v>0</v>
      </c>
      <c r="O147" s="1">
        <f t="shared" si="43"/>
        <v>0</v>
      </c>
      <c r="P147" s="1">
        <f>K147-G147</f>
        <v>0</v>
      </c>
      <c r="Q147" s="3">
        <f t="shared" si="38"/>
        <v>0</v>
      </c>
      <c r="R147" s="3">
        <f t="shared" si="39"/>
        <v>0</v>
      </c>
      <c r="S147" s="3">
        <f>SUM(Q147:R147)</f>
        <v>0</v>
      </c>
      <c r="T147" s="3" t="str">
        <f t="shared" si="40"/>
        <v xml:space="preserve"> </v>
      </c>
      <c r="U147" s="16"/>
      <c r="V147" s="21"/>
      <c r="Y147" s="20"/>
      <c r="AA147" s="3"/>
      <c r="AB147" s="16"/>
      <c r="AD147" s="16"/>
    </row>
    <row r="148" spans="1:30" x14ac:dyDescent="0.25">
      <c r="A148" t="s">
        <v>130</v>
      </c>
      <c r="D148" s="1">
        <v>7557</v>
      </c>
      <c r="G148" s="1">
        <v>8488</v>
      </c>
      <c r="K148" s="1">
        <v>9159</v>
      </c>
      <c r="L148" s="38">
        <f t="shared" si="44"/>
        <v>7.9052780395852968</v>
      </c>
      <c r="N148" s="1">
        <f t="shared" si="42"/>
        <v>0</v>
      </c>
      <c r="O148" s="1">
        <f t="shared" si="43"/>
        <v>0</v>
      </c>
      <c r="P148" s="1">
        <f>K148-G148</f>
        <v>671</v>
      </c>
      <c r="Q148" s="3">
        <f t="shared" si="38"/>
        <v>0</v>
      </c>
      <c r="R148" s="3">
        <f t="shared" si="39"/>
        <v>0</v>
      </c>
      <c r="S148" s="25">
        <f>P148*1250</f>
        <v>838750</v>
      </c>
      <c r="T148" s="3">
        <f t="shared" si="40"/>
        <v>1250</v>
      </c>
      <c r="U148" s="16"/>
      <c r="V148" s="21"/>
      <c r="AA148" s="3"/>
      <c r="AB148" s="16"/>
      <c r="AD148" s="16"/>
    </row>
    <row r="149" spans="1:30" x14ac:dyDescent="0.25">
      <c r="A149" t="s">
        <v>131</v>
      </c>
      <c r="D149" s="1">
        <v>6788</v>
      </c>
      <c r="G149" s="1">
        <v>7521</v>
      </c>
      <c r="K149" s="1">
        <v>8099</v>
      </c>
      <c r="L149" s="38">
        <f t="shared" si="44"/>
        <v>7.6851482515622918</v>
      </c>
      <c r="N149" s="1">
        <f t="shared" si="42"/>
        <v>0</v>
      </c>
      <c r="O149" s="1">
        <f t="shared" si="43"/>
        <v>0</v>
      </c>
      <c r="P149" s="1">
        <f>K149-G149</f>
        <v>578</v>
      </c>
      <c r="Q149" s="3">
        <f t="shared" si="38"/>
        <v>0</v>
      </c>
      <c r="R149" s="3">
        <f t="shared" si="39"/>
        <v>0</v>
      </c>
      <c r="S149" s="37">
        <v>722500</v>
      </c>
      <c r="T149" s="3">
        <f t="shared" si="40"/>
        <v>1250</v>
      </c>
      <c r="U149" s="16"/>
      <c r="V149" s="21"/>
      <c r="AA149" s="3"/>
      <c r="AB149" s="16"/>
      <c r="AD149" s="16"/>
    </row>
    <row r="150" spans="1:30" x14ac:dyDescent="0.25">
      <c r="A150" t="s">
        <v>159</v>
      </c>
      <c r="D150" s="1">
        <v>5006</v>
      </c>
      <c r="G150" s="1">
        <v>5733</v>
      </c>
      <c r="K150" s="1">
        <v>5961</v>
      </c>
      <c r="L150" s="38">
        <f t="shared" si="44"/>
        <v>3.9769754055468343</v>
      </c>
      <c r="N150" s="1">
        <f t="shared" si="42"/>
        <v>0</v>
      </c>
      <c r="O150" s="1">
        <f t="shared" si="43"/>
        <v>0</v>
      </c>
      <c r="P150" s="1">
        <f>K150-G150</f>
        <v>228</v>
      </c>
      <c r="Q150" s="3">
        <f t="shared" si="38"/>
        <v>0</v>
      </c>
      <c r="R150" s="3">
        <f t="shared" si="39"/>
        <v>0</v>
      </c>
      <c r="S150" s="25">
        <f>P150*1250</f>
        <v>285000</v>
      </c>
      <c r="T150" s="3">
        <f t="shared" si="40"/>
        <v>1250</v>
      </c>
      <c r="U150" s="16"/>
      <c r="V150" s="21"/>
      <c r="AA150" s="3"/>
      <c r="AB150" s="16"/>
      <c r="AD150" s="16"/>
    </row>
    <row r="151" spans="1:30" x14ac:dyDescent="0.25">
      <c r="A151" t="s">
        <v>132</v>
      </c>
      <c r="D151" s="1">
        <f>SUM(B151:C151)</f>
        <v>0</v>
      </c>
      <c r="G151" s="1">
        <f>SUM(E151:F151)</f>
        <v>0</v>
      </c>
      <c r="K151" s="1">
        <f>SUM(I151:J151)</f>
        <v>0</v>
      </c>
      <c r="L151" s="38" t="e">
        <f t="shared" si="44"/>
        <v>#DIV/0!</v>
      </c>
      <c r="N151" s="1">
        <f t="shared" si="42"/>
        <v>0</v>
      </c>
      <c r="O151" s="1">
        <f t="shared" si="43"/>
        <v>0</v>
      </c>
      <c r="P151" s="1">
        <f>K151-G151</f>
        <v>0</v>
      </c>
      <c r="Q151" s="3">
        <f t="shared" si="38"/>
        <v>0</v>
      </c>
      <c r="R151" s="3">
        <f t="shared" si="39"/>
        <v>0</v>
      </c>
      <c r="S151" s="3">
        <f>SUM(Q151:R151)</f>
        <v>0</v>
      </c>
      <c r="T151" s="3" t="str">
        <f t="shared" si="40"/>
        <v xml:space="preserve"> </v>
      </c>
      <c r="U151" s="16"/>
      <c r="V151" s="21"/>
      <c r="AA151" s="3"/>
      <c r="AB151" s="16"/>
      <c r="AD151" s="16"/>
    </row>
    <row r="152" spans="1:30" x14ac:dyDescent="0.25">
      <c r="A152" t="s">
        <v>133</v>
      </c>
      <c r="D152" s="1">
        <f>SUM(B152:C152)</f>
        <v>0</v>
      </c>
      <c r="G152" s="17">
        <v>3014</v>
      </c>
      <c r="K152" s="17">
        <v>3251</v>
      </c>
      <c r="L152" s="38">
        <f t="shared" si="44"/>
        <v>7.8633045786330458</v>
      </c>
      <c r="N152" s="1">
        <f t="shared" si="42"/>
        <v>0</v>
      </c>
      <c r="O152" s="1">
        <f t="shared" si="43"/>
        <v>0</v>
      </c>
      <c r="P152" s="18">
        <v>237</v>
      </c>
      <c r="Q152" s="3">
        <f t="shared" si="38"/>
        <v>0</v>
      </c>
      <c r="R152" s="3">
        <f t="shared" si="39"/>
        <v>0</v>
      </c>
      <c r="S152" s="34">
        <f>P152*1250</f>
        <v>296250</v>
      </c>
      <c r="T152" s="3">
        <f t="shared" si="40"/>
        <v>1250</v>
      </c>
      <c r="U152" s="16"/>
      <c r="V152" s="21"/>
      <c r="AA152" s="3"/>
      <c r="AB152" s="16"/>
      <c r="AD152" s="16"/>
    </row>
    <row r="153" spans="1:30" x14ac:dyDescent="0.25">
      <c r="A153" t="s">
        <v>135</v>
      </c>
      <c r="D153" s="1">
        <f>SUM(B153:C153)</f>
        <v>0</v>
      </c>
      <c r="G153" s="1">
        <v>13384</v>
      </c>
      <c r="K153" s="1">
        <v>14455</v>
      </c>
      <c r="L153" s="38">
        <f t="shared" si="44"/>
        <v>8.002092050209205</v>
      </c>
      <c r="N153" s="1">
        <v>785</v>
      </c>
      <c r="O153" s="1">
        <v>258</v>
      </c>
      <c r="P153" s="1">
        <f>SUM(N153:O153)</f>
        <v>1043</v>
      </c>
      <c r="Q153" s="3">
        <f t="shared" si="38"/>
        <v>1055825</v>
      </c>
      <c r="R153" s="3">
        <f t="shared" si="39"/>
        <v>246390</v>
      </c>
      <c r="S153" s="3">
        <f>SUM(Q153:R153)</f>
        <v>1302215</v>
      </c>
      <c r="T153" s="3">
        <f t="shared" si="40"/>
        <v>1248.5282837967402</v>
      </c>
      <c r="U153" s="16"/>
      <c r="V153" s="21"/>
      <c r="AA153" s="3"/>
      <c r="AB153" s="16"/>
      <c r="AD153" s="16"/>
    </row>
    <row r="154" spans="1:30" x14ac:dyDescent="0.25">
      <c r="A154" t="s">
        <v>134</v>
      </c>
      <c r="D154" s="1">
        <v>6057</v>
      </c>
      <c r="G154" s="1">
        <v>6447</v>
      </c>
      <c r="K154" s="1">
        <v>6859</v>
      </c>
      <c r="L154" s="38">
        <f t="shared" si="44"/>
        <v>6.3905692570187691</v>
      </c>
      <c r="N154" s="1">
        <f t="shared" ref="N154:N162" si="45">I154-E154</f>
        <v>0</v>
      </c>
      <c r="O154" s="1">
        <f t="shared" ref="O154:O162" si="46">J154-F154</f>
        <v>0</v>
      </c>
      <c r="P154" s="1">
        <f t="shared" ref="P154:P162" si="47">K154-G154</f>
        <v>412</v>
      </c>
      <c r="Q154" s="3">
        <f t="shared" si="38"/>
        <v>0</v>
      </c>
      <c r="R154" s="3">
        <f t="shared" si="39"/>
        <v>0</v>
      </c>
      <c r="S154" s="25">
        <f>P154*1250</f>
        <v>515000</v>
      </c>
      <c r="T154" s="3">
        <f t="shared" si="40"/>
        <v>1250</v>
      </c>
      <c r="U154" s="16"/>
      <c r="V154" s="21"/>
      <c r="AA154" s="3"/>
      <c r="AB154" s="16"/>
      <c r="AD154" s="16"/>
    </row>
    <row r="155" spans="1:30" x14ac:dyDescent="0.25">
      <c r="A155" t="s">
        <v>136</v>
      </c>
      <c r="D155" s="1">
        <v>9388</v>
      </c>
      <c r="G155" s="1">
        <v>10627</v>
      </c>
      <c r="K155" s="1">
        <v>10910</v>
      </c>
      <c r="L155" s="38">
        <f t="shared" si="44"/>
        <v>2.663028135880305</v>
      </c>
      <c r="N155" s="1">
        <f t="shared" si="45"/>
        <v>0</v>
      </c>
      <c r="O155" s="1">
        <f t="shared" si="46"/>
        <v>0</v>
      </c>
      <c r="P155" s="1">
        <f t="shared" si="47"/>
        <v>283</v>
      </c>
      <c r="Q155" s="3">
        <f t="shared" si="38"/>
        <v>0</v>
      </c>
      <c r="R155" s="3">
        <f t="shared" si="39"/>
        <v>0</v>
      </c>
      <c r="S155" s="25">
        <f>P155*1250</f>
        <v>353750</v>
      </c>
      <c r="T155" s="3">
        <f t="shared" si="40"/>
        <v>1250</v>
      </c>
      <c r="U155" s="16"/>
      <c r="V155" s="21"/>
      <c r="AA155" s="3"/>
      <c r="AB155" s="16"/>
      <c r="AD155" s="16"/>
    </row>
    <row r="156" spans="1:30" x14ac:dyDescent="0.25">
      <c r="A156" t="s">
        <v>137</v>
      </c>
      <c r="D156" s="1">
        <v>7394</v>
      </c>
      <c r="E156" s="1">
        <f>5799+(361/2)</f>
        <v>5979.5</v>
      </c>
      <c r="F156" s="1">
        <f>4899+(361/2)</f>
        <v>5079.5</v>
      </c>
      <c r="G156" s="1">
        <f>SUM(E156:F156)</f>
        <v>11059</v>
      </c>
      <c r="I156" s="1">
        <f>6162+(373/2)-4</f>
        <v>6344.5</v>
      </c>
      <c r="J156" s="1">
        <f>4956+(373/2)+4</f>
        <v>5146.5</v>
      </c>
      <c r="K156" s="1">
        <f>SUM(I156:J156)</f>
        <v>11491</v>
      </c>
      <c r="L156" s="38">
        <f t="shared" si="44"/>
        <v>3.9063206438195137</v>
      </c>
      <c r="N156" s="1">
        <f t="shared" si="45"/>
        <v>365</v>
      </c>
      <c r="O156" s="1">
        <f t="shared" si="46"/>
        <v>67</v>
      </c>
      <c r="P156" s="1">
        <f t="shared" si="47"/>
        <v>432</v>
      </c>
      <c r="Q156" s="3">
        <f t="shared" si="38"/>
        <v>490925</v>
      </c>
      <c r="R156" s="3">
        <f t="shared" si="39"/>
        <v>63985</v>
      </c>
      <c r="S156" s="3">
        <f>SUM(Q156:R156)</f>
        <v>554910</v>
      </c>
      <c r="T156" s="3">
        <f t="shared" si="40"/>
        <v>1284.5138888888889</v>
      </c>
      <c r="U156" s="16"/>
      <c r="V156" s="21"/>
      <c r="AA156" s="3"/>
      <c r="AB156" s="16"/>
      <c r="AD156" s="16"/>
    </row>
    <row r="157" spans="1:30" x14ac:dyDescent="0.25">
      <c r="A157" t="s">
        <v>138</v>
      </c>
      <c r="D157" s="1">
        <f>SUM(B157:C157)</f>
        <v>0</v>
      </c>
      <c r="G157" s="1">
        <f>SUM(E157:F157)</f>
        <v>0</v>
      </c>
      <c r="K157" s="1">
        <f>SUM(I157:J157)</f>
        <v>0</v>
      </c>
      <c r="L157" s="38" t="e">
        <f t="shared" si="44"/>
        <v>#DIV/0!</v>
      </c>
      <c r="N157" s="1">
        <f t="shared" si="45"/>
        <v>0</v>
      </c>
      <c r="O157" s="1">
        <f t="shared" si="46"/>
        <v>0</v>
      </c>
      <c r="P157" s="1">
        <f t="shared" si="47"/>
        <v>0</v>
      </c>
      <c r="Q157" s="3">
        <f t="shared" si="38"/>
        <v>0</v>
      </c>
      <c r="R157" s="3">
        <f t="shared" si="39"/>
        <v>0</v>
      </c>
      <c r="S157" s="3">
        <f>SUM(Q157:R157)</f>
        <v>0</v>
      </c>
      <c r="T157" s="3" t="str">
        <f t="shared" si="40"/>
        <v xml:space="preserve"> </v>
      </c>
      <c r="U157" s="16"/>
      <c r="V157" s="21"/>
      <c r="AA157" s="3"/>
      <c r="AB157" s="16"/>
      <c r="AD157" s="16"/>
    </row>
    <row r="158" spans="1:30" x14ac:dyDescent="0.25">
      <c r="A158" t="s">
        <v>139</v>
      </c>
      <c r="D158" s="1">
        <f>SUM(B158:C158)</f>
        <v>0</v>
      </c>
      <c r="G158" s="17">
        <v>12137</v>
      </c>
      <c r="K158" s="17">
        <v>12758</v>
      </c>
      <c r="L158" s="38">
        <f t="shared" si="44"/>
        <v>5.1165856471945288</v>
      </c>
      <c r="N158" s="1">
        <f t="shared" si="45"/>
        <v>0</v>
      </c>
      <c r="O158" s="1">
        <f t="shared" si="46"/>
        <v>0</v>
      </c>
      <c r="P158" s="17">
        <f t="shared" si="47"/>
        <v>621</v>
      </c>
      <c r="Q158" s="3">
        <f t="shared" si="38"/>
        <v>0</v>
      </c>
      <c r="R158" s="3">
        <f t="shared" si="39"/>
        <v>0</v>
      </c>
      <c r="S158" s="19">
        <v>776250</v>
      </c>
      <c r="T158" s="3">
        <f t="shared" si="40"/>
        <v>1250</v>
      </c>
      <c r="U158" s="16"/>
      <c r="V158" s="21"/>
      <c r="AA158" s="3"/>
      <c r="AB158" s="16"/>
      <c r="AD158" s="16"/>
    </row>
    <row r="159" spans="1:30" x14ac:dyDescent="0.25">
      <c r="A159" t="s">
        <v>140</v>
      </c>
      <c r="D159" s="1">
        <f>SUM(B159:C159)</f>
        <v>0</v>
      </c>
      <c r="G159" s="1">
        <f>SUM(E159:F159)</f>
        <v>0</v>
      </c>
      <c r="K159" s="1">
        <f>SUM(I159:J159)</f>
        <v>0</v>
      </c>
      <c r="L159" s="38" t="e">
        <f t="shared" si="44"/>
        <v>#DIV/0!</v>
      </c>
      <c r="N159" s="1">
        <f t="shared" si="45"/>
        <v>0</v>
      </c>
      <c r="O159" s="1">
        <f t="shared" si="46"/>
        <v>0</v>
      </c>
      <c r="P159" s="1">
        <f t="shared" si="47"/>
        <v>0</v>
      </c>
      <c r="Q159" s="3">
        <f t="shared" si="38"/>
        <v>0</v>
      </c>
      <c r="R159" s="3">
        <f t="shared" si="39"/>
        <v>0</v>
      </c>
      <c r="S159" s="3">
        <f>SUM(Q159:R159)</f>
        <v>0</v>
      </c>
      <c r="T159" s="3" t="str">
        <f t="shared" si="40"/>
        <v xml:space="preserve"> </v>
      </c>
      <c r="U159" s="16"/>
      <c r="V159" s="21"/>
      <c r="AA159" s="3"/>
      <c r="AB159" s="16"/>
      <c r="AD159" s="16"/>
    </row>
    <row r="160" spans="1:30" x14ac:dyDescent="0.25">
      <c r="A160" t="s">
        <v>141</v>
      </c>
      <c r="D160" s="1">
        <f>SUM(B160:C160)</f>
        <v>0</v>
      </c>
      <c r="G160" s="1">
        <f>SUM(E160:F160)</f>
        <v>0</v>
      </c>
      <c r="K160" s="1">
        <f>SUM(I160:J160)</f>
        <v>0</v>
      </c>
      <c r="L160" s="38" t="e">
        <f t="shared" si="44"/>
        <v>#DIV/0!</v>
      </c>
      <c r="N160" s="1">
        <f t="shared" si="45"/>
        <v>0</v>
      </c>
      <c r="O160" s="1">
        <f t="shared" si="46"/>
        <v>0</v>
      </c>
      <c r="P160" s="1">
        <f t="shared" si="47"/>
        <v>0</v>
      </c>
      <c r="Q160" s="3">
        <f t="shared" si="38"/>
        <v>0</v>
      </c>
      <c r="R160" s="3">
        <f t="shared" si="39"/>
        <v>0</v>
      </c>
      <c r="S160" s="3">
        <f>SUM(Q160:R160)</f>
        <v>0</v>
      </c>
      <c r="T160" s="3" t="str">
        <f t="shared" si="40"/>
        <v xml:space="preserve"> </v>
      </c>
      <c r="U160" s="16"/>
      <c r="V160" s="21"/>
      <c r="AA160" s="3"/>
      <c r="AB160" s="16"/>
      <c r="AD160" s="16"/>
    </row>
    <row r="161" spans="1:30" x14ac:dyDescent="0.25">
      <c r="A161" t="s">
        <v>142</v>
      </c>
      <c r="D161" s="1">
        <v>11051</v>
      </c>
      <c r="G161" s="1">
        <v>13015</v>
      </c>
      <c r="K161" s="1">
        <v>13577</v>
      </c>
      <c r="L161" s="38">
        <f t="shared" si="44"/>
        <v>4.3180945063388396</v>
      </c>
      <c r="N161" s="1">
        <f t="shared" si="45"/>
        <v>0</v>
      </c>
      <c r="O161" s="1">
        <f t="shared" si="46"/>
        <v>0</v>
      </c>
      <c r="P161" s="1">
        <f t="shared" si="47"/>
        <v>562</v>
      </c>
      <c r="Q161" s="3">
        <f t="shared" si="38"/>
        <v>0</v>
      </c>
      <c r="R161" s="3">
        <f t="shared" si="39"/>
        <v>0</v>
      </c>
      <c r="S161" s="37">
        <v>702500</v>
      </c>
      <c r="T161" s="3">
        <f t="shared" si="40"/>
        <v>1250</v>
      </c>
      <c r="U161" s="16"/>
      <c r="V161" s="21"/>
      <c r="AA161" s="3"/>
      <c r="AB161" s="16"/>
      <c r="AD161" s="16"/>
    </row>
    <row r="162" spans="1:30" x14ac:dyDescent="0.25">
      <c r="A162" t="s">
        <v>143</v>
      </c>
      <c r="B162" s="44"/>
      <c r="C162" s="44"/>
      <c r="D162" s="44">
        <f>SUM(B162:C162)</f>
        <v>0</v>
      </c>
      <c r="E162" s="44"/>
      <c r="F162" s="44"/>
      <c r="G162" s="44">
        <f>SUM(E162:F162)</f>
        <v>0</v>
      </c>
      <c r="H162" s="44"/>
      <c r="I162" s="44"/>
      <c r="J162" s="44"/>
      <c r="K162" s="44">
        <f>SUM(I162:J162)</f>
        <v>0</v>
      </c>
      <c r="L162" s="46" t="e">
        <f t="shared" si="44"/>
        <v>#DIV/0!</v>
      </c>
      <c r="M162" s="44"/>
      <c r="N162" s="44">
        <f t="shared" si="45"/>
        <v>0</v>
      </c>
      <c r="O162" s="44">
        <f t="shared" si="46"/>
        <v>0</v>
      </c>
      <c r="P162" s="44">
        <f t="shared" si="47"/>
        <v>0</v>
      </c>
      <c r="Q162" s="48">
        <f t="shared" si="38"/>
        <v>0</v>
      </c>
      <c r="R162" s="48">
        <f t="shared" si="39"/>
        <v>0</v>
      </c>
      <c r="S162" s="48">
        <f>SUM(Q162:R162)</f>
        <v>0</v>
      </c>
      <c r="T162" s="48" t="str">
        <f t="shared" si="40"/>
        <v xml:space="preserve"> </v>
      </c>
      <c r="U162" s="16"/>
    </row>
    <row r="163" spans="1:30" ht="84" customHeight="1" x14ac:dyDescent="0.25">
      <c r="O163" s="53" t="s">
        <v>169</v>
      </c>
      <c r="P163" s="20">
        <f>SUBTOTAL(9,P13:P161)</f>
        <v>77522.988847583649</v>
      </c>
      <c r="R163" s="54" t="s">
        <v>168</v>
      </c>
      <c r="S163" s="54">
        <f>SUBTOTAL(9,S12:S162)</f>
        <v>95469885</v>
      </c>
    </row>
    <row r="165" spans="1:30" ht="51.75" customHeight="1" x14ac:dyDescent="0.25">
      <c r="O165" s="52"/>
    </row>
    <row r="166" spans="1:30" x14ac:dyDescent="0.25">
      <c r="A166" s="10"/>
    </row>
    <row r="167" spans="1:30" ht="17.100000000000001" customHeight="1" x14ac:dyDescent="0.25"/>
    <row r="170" spans="1:30" x14ac:dyDescent="0.25">
      <c r="S170" s="37"/>
      <c r="T170" s="3"/>
      <c r="U170" s="16"/>
    </row>
    <row r="171" spans="1:30" x14ac:dyDescent="0.25">
      <c r="T171" s="3"/>
      <c r="U171" s="16"/>
    </row>
  </sheetData>
  <autoFilter ref="A10:U162" xr:uid="{1752000D-0063-4EBF-9F18-CDF4BDA11582}">
    <sortState xmlns:xlrd2="http://schemas.microsoft.com/office/spreadsheetml/2017/richdata2" ref="A11:U162">
      <sortCondition ref="A10:A162"/>
    </sortState>
  </autoFilter>
  <sortState xmlns:xlrd2="http://schemas.microsoft.com/office/spreadsheetml/2017/richdata2" ref="A11:AD161">
    <sortCondition ref="A11:A161"/>
  </sortState>
  <mergeCells count="6">
    <mergeCell ref="B7:D7"/>
    <mergeCell ref="W8:Z8"/>
    <mergeCell ref="Q7:S7"/>
    <mergeCell ref="N7:P7"/>
    <mergeCell ref="E7:G7"/>
    <mergeCell ref="I7:K7"/>
  </mergeCells>
  <phoneticPr fontId="5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Cordiner</dc:creator>
  <cp:lastModifiedBy>LSECT</cp:lastModifiedBy>
  <dcterms:created xsi:type="dcterms:W3CDTF">2021-03-10T21:44:26Z</dcterms:created>
  <dcterms:modified xsi:type="dcterms:W3CDTF">2021-04-23T09:44:30Z</dcterms:modified>
</cp:coreProperties>
</file>